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cbste\Dropbox\xlWaterBal\"/>
    </mc:Choice>
  </mc:AlternateContent>
  <bookViews>
    <workbookView xWindow="0" yWindow="0" windowWidth="15360" windowHeight="7755" activeTab="3"/>
  </bookViews>
  <sheets>
    <sheet name="Control" sheetId="3" r:id="rId1"/>
    <sheet name="Table" sheetId="2" r:id="rId2"/>
    <sheet name="Model" sheetId="1" r:id="rId3"/>
    <sheet name="Output" sheetId="4" r:id="rId4"/>
  </sheets>
  <definedNames>
    <definedName name="_criteria">Control!$B$5</definedName>
    <definedName name="_operation">Control!$E$13</definedName>
    <definedName name="_option">Control!$E$2</definedName>
    <definedName name="_prerun">Control!$E$6</definedName>
    <definedName name="_read">Output!$A$3</definedName>
    <definedName name="_step">Control!$B$4</definedName>
    <definedName name="_stepsize">Control!$B$3</definedName>
    <definedName name="_write">Output!$A$7</definedName>
    <definedName name="ae_1">Model!$H$32</definedName>
    <definedName name="ae_2">Model!$I$32</definedName>
    <definedName name="ae_3">Model!$J$32</definedName>
    <definedName name="aet_1">Model!$H$31</definedName>
    <definedName name="aet_2">Model!$I$31</definedName>
    <definedName name="aet_3">Model!$J$31</definedName>
    <definedName name="awc_1">Model!$H$28</definedName>
    <definedName name="awc_2">Model!$I$28</definedName>
    <definedName name="awc_3">Model!$J$28</definedName>
    <definedName name="clay_1">Model!$H$11</definedName>
    <definedName name="clay_2">Model!$I$11</definedName>
    <definedName name="clay_3">Model!$J$11</definedName>
    <definedName name="critical_root">Model!$E$20</definedName>
    <definedName name="cummthick_1">Model!$H$12</definedName>
    <definedName name="cummthick_2">Model!$I$12</definedName>
    <definedName name="cummthick_3">Model!$J$12</definedName>
    <definedName name="day">Model!$E$2</definedName>
    <definedName name="depth_1">Model!$H$13</definedName>
    <definedName name="depth_2">Model!$I$13</definedName>
    <definedName name="depth_3">Model!$J$13</definedName>
    <definedName name="dist_1">Model!$H$14</definedName>
    <definedName name="dist_2">Model!$I$14</definedName>
    <definedName name="dist_3">Model!$J$14</definedName>
    <definedName name="e">Model!$E$12</definedName>
    <definedName name="e_1">Model!$H$56</definedName>
    <definedName name="e_2">Model!$I$56</definedName>
    <definedName name="e_3">Model!$J$56</definedName>
    <definedName name="fc_1">Model!$H$35</definedName>
    <definedName name="fc_2">Model!$I$35</definedName>
    <definedName name="fc_3">Model!$J$35</definedName>
    <definedName name="h_1">Model!$H$43</definedName>
    <definedName name="h_2">Model!$I$43</definedName>
    <definedName name="h_3">Model!$J$43</definedName>
    <definedName name="has_watertable">Model!$B$3</definedName>
    <definedName name="hg_1">Model!$H$42</definedName>
    <definedName name="hg_2">Model!$I$42</definedName>
    <definedName name="hg_3">Model!$J$42</definedName>
    <definedName name="hm_1">Model!$H$41</definedName>
    <definedName name="hm_2">Model!$I$41</definedName>
    <definedName name="hm_3">Model!$J$41</definedName>
    <definedName name="k_1">Model!$H$47</definedName>
    <definedName name="k_2">Model!$I$47</definedName>
    <definedName name="k_3">Model!$J$47</definedName>
    <definedName name="kmean_2">Model!$I$62</definedName>
    <definedName name="kmean_3">Model!$J$62</definedName>
    <definedName name="ksat_1">Model!$H$46</definedName>
    <definedName name="ksat_2">Model!$I$46</definedName>
    <definedName name="ksat_3">Model!$J$46</definedName>
    <definedName name="lai">Model!$B$7</definedName>
    <definedName name="netrain">Model!$E$3</definedName>
    <definedName name="numintervals">Model!$B$2</definedName>
    <definedName name="om_1">Model!$H$7</definedName>
    <definedName name="om_2">Model!$I$7</definedName>
    <definedName name="om_3">Model!$J$7</definedName>
    <definedName name="psd_1">Model!$H$26</definedName>
    <definedName name="psd_2">Model!$I$26</definedName>
    <definedName name="psd_3">Model!$J$26</definedName>
    <definedName name="pwp_1">Model!$H$36</definedName>
    <definedName name="pwp_2">Model!$I$36</definedName>
    <definedName name="pwp_3">Model!$J$36</definedName>
    <definedName name="pwp_root">Model!$E$17</definedName>
    <definedName name="rain">Model!$B$6</definedName>
    <definedName name="rootdepth">Model!$E$6</definedName>
    <definedName name="sand_1">Model!$H$10</definedName>
    <definedName name="sand_2">Model!$I$10</definedName>
    <definedName name="sand_3">Model!$J$10</definedName>
    <definedName name="sat_1">Model!$H$34</definedName>
    <definedName name="sat_2">Model!$I$34</definedName>
    <definedName name="sat_3">Model!$J$34</definedName>
    <definedName name="sat_root">Model!$E$16</definedName>
    <definedName name="t">Model!$E$23</definedName>
    <definedName name="t_1">Model!$H$59</definedName>
    <definedName name="t_2">Model!$I$59</definedName>
    <definedName name="t_3">Model!$J$59</definedName>
    <definedName name="theta0_1">Model!$H$23</definedName>
    <definedName name="theta0_2">Model!$I$23</definedName>
    <definedName name="theta0_3">Model!$J$23</definedName>
    <definedName name="theta1500_1">Model!$H$22</definedName>
    <definedName name="theta1500_2">Model!$I$22</definedName>
    <definedName name="theta1500_3">Model!$J$22</definedName>
    <definedName name="theta1500t_1">Model!$H$21</definedName>
    <definedName name="theta1500t_2">Model!$I$21</definedName>
    <definedName name="theta1500t_3">Model!$J$21</definedName>
    <definedName name="theta33_1">Model!$H$18</definedName>
    <definedName name="theta33_2">Model!$I$18</definedName>
    <definedName name="theta33_3">Model!$J$18</definedName>
    <definedName name="theta33t_1">Model!$H$17</definedName>
    <definedName name="theta33t_2">Model!$I$17</definedName>
    <definedName name="theta33t_3">Model!$J$17</definedName>
    <definedName name="thetas33_1">Model!$H$20</definedName>
    <definedName name="thetas33_2">Model!$I$20</definedName>
    <definedName name="thetas33_3">Model!$J$20</definedName>
    <definedName name="thetas33t_1">Model!$H$19</definedName>
    <definedName name="thetas33t_2">Model!$I$19</definedName>
    <definedName name="thetas33t_3">Model!$J$19</definedName>
    <definedName name="thick_1">Model!$H$4</definedName>
    <definedName name="thick_2">Model!$I$4</definedName>
    <definedName name="thick_3">Model!$J$4</definedName>
    <definedName name="vwc_1">Model!$H$78</definedName>
    <definedName name="vwc_2">Model!$I$78</definedName>
    <definedName name="vwc_3">Model!$J$78</definedName>
    <definedName name="vwc_root">Model!$E$15</definedName>
    <definedName name="wc_1">Model!$H$66</definedName>
    <definedName name="wc_2">Model!$I$66</definedName>
    <definedName name="wc_3">Model!$J$66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10" i="1"/>
  <c r="J10" i="1"/>
  <c r="H11" i="1"/>
  <c r="I11" i="1"/>
  <c r="J11" i="1"/>
  <c r="E2" i="1" l="1"/>
  <c r="S62" i="4" l="1"/>
  <c r="S60" i="4"/>
  <c r="S58" i="4"/>
  <c r="S59" i="4"/>
  <c r="S61" i="4"/>
  <c r="S57" i="4"/>
  <c r="L3" i="4" l="1"/>
  <c r="D3" i="4" l="1"/>
  <c r="C3" i="4"/>
  <c r="B3" i="4"/>
  <c r="F14" i="3"/>
  <c r="H13" i="3"/>
  <c r="G13" i="3"/>
  <c r="F13" i="3"/>
  <c r="F9" i="3"/>
  <c r="F8" i="3"/>
  <c r="F7" i="3"/>
  <c r="F6" i="3"/>
  <c r="B5" i="3"/>
  <c r="H68" i="1"/>
  <c r="I68" i="1"/>
  <c r="J68" i="1"/>
  <c r="J66" i="1"/>
  <c r="I66" i="1"/>
  <c r="H66" i="1"/>
  <c r="E3" i="4" l="1"/>
  <c r="G3" i="4"/>
  <c r="F3" i="4"/>
  <c r="B9" i="1"/>
  <c r="B8" i="1"/>
  <c r="B6" i="1"/>
  <c r="B7" i="1"/>
  <c r="A3" i="4"/>
  <c r="H13" i="1"/>
  <c r="H12" i="1"/>
  <c r="H50" i="1" l="1"/>
  <c r="H51" i="1" s="1"/>
  <c r="P3" i="4"/>
  <c r="K3" i="4"/>
  <c r="T58" i="4"/>
  <c r="T57" i="4"/>
  <c r="E3" i="1"/>
  <c r="I21" i="1"/>
  <c r="I22" i="1" s="1"/>
  <c r="I36" i="1" s="1"/>
  <c r="I17" i="1"/>
  <c r="I18" i="1" s="1"/>
  <c r="I19" i="1"/>
  <c r="I20" i="1" s="1"/>
  <c r="J17" i="1"/>
  <c r="J18" i="1" s="1"/>
  <c r="J21" i="1"/>
  <c r="J22" i="1" s="1"/>
  <c r="J36" i="1" s="1"/>
  <c r="J19" i="1"/>
  <c r="J20" i="1" s="1"/>
  <c r="I12" i="1"/>
  <c r="H57" i="1"/>
  <c r="H58" i="1" s="1"/>
  <c r="I13" i="1"/>
  <c r="H42" i="1"/>
  <c r="H21" i="1"/>
  <c r="H22" i="1" s="1"/>
  <c r="H36" i="1" s="1"/>
  <c r="H17" i="1"/>
  <c r="H18" i="1" s="1"/>
  <c r="H19" i="1"/>
  <c r="H20" i="1" s="1"/>
  <c r="H14" i="1"/>
  <c r="H53" i="1" l="1"/>
  <c r="I50" i="1"/>
  <c r="I51" i="1" s="1"/>
  <c r="T59" i="4"/>
  <c r="T60" i="4"/>
  <c r="J35" i="1"/>
  <c r="J23" i="1"/>
  <c r="J25" i="1"/>
  <c r="J12" i="1"/>
  <c r="I57" i="1"/>
  <c r="I58" i="1" s="1"/>
  <c r="I23" i="1"/>
  <c r="I35" i="1"/>
  <c r="I25" i="1"/>
  <c r="J13" i="1"/>
  <c r="J42" i="1" s="1"/>
  <c r="I42" i="1"/>
  <c r="I14" i="1"/>
  <c r="H23" i="1"/>
  <c r="H35" i="1"/>
  <c r="H25" i="1"/>
  <c r="I53" i="1" l="1"/>
  <c r="J50" i="1"/>
  <c r="J51" i="1" s="1"/>
  <c r="E15" i="1" s="1"/>
  <c r="E8" i="1"/>
  <c r="G14" i="3" s="1"/>
  <c r="T61" i="4"/>
  <c r="T62" i="4"/>
  <c r="K42" i="1"/>
  <c r="J57" i="1"/>
  <c r="J58" i="1" s="1"/>
  <c r="J14" i="1"/>
  <c r="I26" i="1"/>
  <c r="I40" i="1"/>
  <c r="I34" i="1"/>
  <c r="I28" i="1"/>
  <c r="J40" i="1"/>
  <c r="J26" i="1"/>
  <c r="J34" i="1"/>
  <c r="J28" i="1"/>
  <c r="H26" i="1"/>
  <c r="H40" i="1"/>
  <c r="H28" i="1"/>
  <c r="H34" i="1"/>
  <c r="H52" i="1" s="1"/>
  <c r="J53" i="1" l="1"/>
  <c r="E17" i="1" s="1"/>
  <c r="J69" i="1"/>
  <c r="J52" i="1"/>
  <c r="I69" i="1"/>
  <c r="I52" i="1"/>
  <c r="H69" i="1"/>
  <c r="E11" i="1"/>
  <c r="E12" i="1" s="1"/>
  <c r="I46" i="1"/>
  <c r="I30" i="1"/>
  <c r="I29" i="1"/>
  <c r="J29" i="1"/>
  <c r="J46" i="1"/>
  <c r="J30" i="1"/>
  <c r="H46" i="1"/>
  <c r="H30" i="1"/>
  <c r="H29" i="1"/>
  <c r="E16" i="1" l="1"/>
  <c r="E20" i="1" s="1"/>
  <c r="I31" i="1"/>
  <c r="I32" i="1" s="1"/>
  <c r="J31" i="1"/>
  <c r="J32" i="1" s="1"/>
  <c r="H31" i="1"/>
  <c r="H32" i="1" s="1"/>
  <c r="H39" i="1" s="1"/>
  <c r="E21" i="1" l="1"/>
  <c r="E22" i="1" s="1"/>
  <c r="K39" i="1"/>
  <c r="K41" i="1" s="1"/>
  <c r="K43" i="1" s="1"/>
  <c r="J39" i="1"/>
  <c r="J41" i="1" s="1"/>
  <c r="J47" i="1" s="1"/>
  <c r="I39" i="1"/>
  <c r="I41" i="1" s="1"/>
  <c r="H41" i="1"/>
  <c r="H47" i="1" s="1"/>
  <c r="E23" i="1" l="1"/>
  <c r="J43" i="1"/>
  <c r="I47" i="1"/>
  <c r="I62" i="1" s="1"/>
  <c r="I43" i="1"/>
  <c r="K62" i="1"/>
  <c r="H43" i="1"/>
  <c r="K63" i="1" l="1"/>
  <c r="J64" i="1" s="1"/>
  <c r="J62" i="1"/>
  <c r="M3" i="4" l="1"/>
  <c r="H56" i="1"/>
  <c r="N3" i="4"/>
  <c r="J59" i="1"/>
  <c r="I59" i="1"/>
  <c r="H59" i="1"/>
  <c r="H3" i="4" l="1"/>
  <c r="J3" i="4"/>
  <c r="I63" i="1"/>
  <c r="H64" i="1" s="1"/>
  <c r="O3" i="4"/>
  <c r="H63" i="1"/>
  <c r="H71" i="1" s="1"/>
  <c r="J63" i="1"/>
  <c r="I64" i="1" s="1"/>
  <c r="I3" i="4"/>
  <c r="I67" i="1" l="1"/>
  <c r="I70" i="1"/>
  <c r="I71" i="1"/>
  <c r="H70" i="1"/>
  <c r="H74" i="1"/>
  <c r="H67" i="1"/>
  <c r="J67" i="1"/>
  <c r="J70" i="1"/>
  <c r="J71" i="1"/>
  <c r="I72" i="1" l="1"/>
  <c r="J74" i="1" s="1"/>
  <c r="J72" i="1"/>
  <c r="H72" i="1"/>
  <c r="I74" i="1" s="1"/>
  <c r="I75" i="1" l="1"/>
  <c r="I76" i="1" s="1"/>
  <c r="I79" i="1" s="1"/>
  <c r="J75" i="1"/>
  <c r="J76" i="1" s="1"/>
  <c r="J79" i="1" s="1"/>
  <c r="H75" i="1"/>
  <c r="H76" i="1" s="1"/>
  <c r="H79" i="1" s="1"/>
</calcChain>
</file>

<file path=xl/sharedStrings.xml><?xml version="1.0" encoding="utf-8"?>
<sst xmlns="http://schemas.openxmlformats.org/spreadsheetml/2006/main" count="146" uniqueCount="137">
  <si>
    <t>INPUT</t>
  </si>
  <si>
    <t>No. of subintervals</t>
  </si>
  <si>
    <t>SOIL LAYERS</t>
  </si>
  <si>
    <t>Layer 1</t>
  </si>
  <si>
    <t>Layer 2</t>
  </si>
  <si>
    <t>Layer 3</t>
  </si>
  <si>
    <t>Parameters</t>
  </si>
  <si>
    <t>Thickness (m)</t>
  </si>
  <si>
    <t>Sand (%)</t>
  </si>
  <si>
    <t>Clay (%)</t>
  </si>
  <si>
    <t>OM (%)</t>
  </si>
  <si>
    <t>Sand (fraction)</t>
  </si>
  <si>
    <t>Clay (fraction)</t>
  </si>
  <si>
    <t>Cumulative thickness (m)</t>
  </si>
  <si>
    <t>Depth from surface (m)</t>
  </si>
  <si>
    <t>Flow distance (m)</t>
  </si>
  <si>
    <t>B</t>
  </si>
  <si>
    <t>n1</t>
  </si>
  <si>
    <t>n2</t>
  </si>
  <si>
    <t>aet</t>
  </si>
  <si>
    <t>Has a water table?</t>
  </si>
  <si>
    <t>CONDUCTIVITY</t>
  </si>
  <si>
    <t>HEADS</t>
  </si>
  <si>
    <t>SOIL WATER CHARACTERISTICS</t>
  </si>
  <si>
    <t>LAYER PROPERTIES</t>
  </si>
  <si>
    <t>H, total head (m)</t>
  </si>
  <si>
    <r>
      <t>H</t>
    </r>
    <r>
      <rPr>
        <vertAlign val="subscript"/>
        <sz val="14"/>
        <rFont val="Calibri"/>
        <family val="2"/>
        <scheme val="minor"/>
      </rPr>
      <t>m</t>
    </r>
    <r>
      <rPr>
        <sz val="11"/>
        <rFont val="Calibri"/>
        <family val="2"/>
        <scheme val="minor"/>
      </rPr>
      <t xml:space="preserve"> (opt 1)</t>
    </r>
  </si>
  <si>
    <r>
      <t>H</t>
    </r>
    <r>
      <rPr>
        <vertAlign val="subscript"/>
        <sz val="14"/>
        <rFont val="Calibri"/>
        <family val="2"/>
        <scheme val="minor"/>
      </rPr>
      <t>m</t>
    </r>
    <r>
      <rPr>
        <sz val="11"/>
        <rFont val="Calibri"/>
        <family val="2"/>
        <scheme val="minor"/>
      </rPr>
      <t xml:space="preserve"> (opt 2)</t>
    </r>
  </si>
  <si>
    <r>
      <t>H</t>
    </r>
    <r>
      <rPr>
        <vertAlign val="subscript"/>
        <sz val="14"/>
        <rFont val="Calibri"/>
        <family val="2"/>
        <scheme val="minor"/>
      </rPr>
      <t>m</t>
    </r>
    <r>
      <rPr>
        <sz val="11"/>
        <rFont val="Calibri"/>
        <family val="2"/>
        <scheme val="minor"/>
      </rPr>
      <t>, matric head (m)</t>
    </r>
  </si>
  <si>
    <r>
      <t>H</t>
    </r>
    <r>
      <rPr>
        <vertAlign val="subscript"/>
        <sz val="14"/>
        <rFont val="Calibri"/>
        <family val="2"/>
        <scheme val="minor"/>
      </rPr>
      <t>g</t>
    </r>
    <r>
      <rPr>
        <sz val="11"/>
        <rFont val="Calibri"/>
        <family val="2"/>
        <scheme val="minor"/>
      </rPr>
      <t>, gravity head (m)</t>
    </r>
  </si>
  <si>
    <r>
      <t>θ</t>
    </r>
    <r>
      <rPr>
        <vertAlign val="subscript"/>
        <sz val="14"/>
        <rFont val="Calibri"/>
        <family val="2"/>
        <scheme val="minor"/>
      </rPr>
      <t>33t</t>
    </r>
  </si>
  <si>
    <r>
      <t>θ</t>
    </r>
    <r>
      <rPr>
        <vertAlign val="subscript"/>
        <sz val="14"/>
        <rFont val="Calibri"/>
        <family val="2"/>
        <scheme val="minor"/>
      </rPr>
      <t>33</t>
    </r>
  </si>
  <si>
    <r>
      <t>θ</t>
    </r>
    <r>
      <rPr>
        <vertAlign val="subscript"/>
        <sz val="14"/>
        <rFont val="Calibri"/>
        <family val="2"/>
        <scheme val="minor"/>
      </rPr>
      <t>(s33)t</t>
    </r>
  </si>
  <si>
    <r>
      <t>θ</t>
    </r>
    <r>
      <rPr>
        <vertAlign val="subscript"/>
        <sz val="14"/>
        <rFont val="Calibri"/>
        <family val="2"/>
        <scheme val="minor"/>
      </rPr>
      <t>(s33)</t>
    </r>
  </si>
  <si>
    <r>
      <t>θ</t>
    </r>
    <r>
      <rPr>
        <vertAlign val="subscript"/>
        <sz val="14"/>
        <rFont val="Calibri"/>
        <family val="2"/>
        <scheme val="minor"/>
      </rPr>
      <t>1500t</t>
    </r>
  </si>
  <si>
    <r>
      <t>θ</t>
    </r>
    <r>
      <rPr>
        <vertAlign val="subscript"/>
        <sz val="14"/>
        <rFont val="Calibri"/>
        <family val="2"/>
        <scheme val="minor"/>
      </rPr>
      <t>1500</t>
    </r>
  </si>
  <si>
    <r>
      <t>θ</t>
    </r>
    <r>
      <rPr>
        <vertAlign val="subscript"/>
        <sz val="14"/>
        <rFont val="Calibri"/>
        <family val="2"/>
        <scheme val="minor"/>
      </rPr>
      <t>0</t>
    </r>
  </si>
  <si>
    <r>
      <t>K</t>
    </r>
    <r>
      <rPr>
        <vertAlign val="subscript"/>
        <sz val="14"/>
        <rFont val="Calibri"/>
        <family val="2"/>
        <scheme val="minor"/>
      </rPr>
      <t>sat</t>
    </r>
    <r>
      <rPr>
        <sz val="11"/>
        <rFont val="Calibri"/>
        <family val="2"/>
        <scheme val="minor"/>
      </rPr>
      <t>, saturated (m/day)</t>
    </r>
  </si>
  <si>
    <t>K, unsaturated (m/day)</t>
  </si>
  <si>
    <t>Current day</t>
  </si>
  <si>
    <t>Rain (mm)</t>
  </si>
  <si>
    <t>E (mm)</t>
  </si>
  <si>
    <t>T (mm)</t>
  </si>
  <si>
    <t>Net rain (mm)</t>
  </si>
  <si>
    <t>ROOTING DEPTH</t>
  </si>
  <si>
    <t>Current depth (m)</t>
  </si>
  <si>
    <t>Rate (m/day)</t>
  </si>
  <si>
    <t>Next depth (m)</t>
  </si>
  <si>
    <r>
      <t>LAI (m</t>
    </r>
    <r>
      <rPr>
        <vertAlign val="superscript"/>
        <sz val="14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4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</si>
  <si>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READ FROM TABLE</t>
  </si>
  <si>
    <t>E (m)</t>
  </si>
  <si>
    <t>T (m)</t>
  </si>
  <si>
    <t>EVAPOTRANSPIRATION (ET)</t>
  </si>
  <si>
    <t>-</t>
  </si>
  <si>
    <t>j</t>
  </si>
  <si>
    <t>c</t>
  </si>
  <si>
    <t>Current water content (m)</t>
  </si>
  <si>
    <t>Dry limit (m)</t>
  </si>
  <si>
    <t>Pore-size distribution</t>
  </si>
  <si>
    <r>
      <t>Avail. water (m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)</t>
    </r>
  </si>
  <si>
    <t>Air-entry suction (kPa)</t>
  </si>
  <si>
    <r>
      <t>Saturation (m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)</t>
    </r>
  </si>
  <si>
    <r>
      <t>Field capacity (m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)</t>
    </r>
  </si>
  <si>
    <r>
      <t>Permanent wilting (m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)</t>
    </r>
  </si>
  <si>
    <t>Mean K (m/day)</t>
  </si>
  <si>
    <t>WATER FLUXES</t>
  </si>
  <si>
    <t>Outflux - initial (m/day)</t>
  </si>
  <si>
    <t>Outflux - final (m/day)</t>
  </si>
  <si>
    <t>Saturated limit (m)</t>
  </si>
  <si>
    <t>Next water content - initial (m)</t>
  </si>
  <si>
    <t>Influx - final (m/day)</t>
  </si>
  <si>
    <t>Influx - initial (m/day)</t>
  </si>
  <si>
    <t>Outflux if too dry (m/day)</t>
  </si>
  <si>
    <t>Outflux if too wet (m/day)</t>
  </si>
  <si>
    <t>Netflux - final (m/subinterval)</t>
  </si>
  <si>
    <t>Water content (m)</t>
  </si>
  <si>
    <r>
      <t>Next vol. water  (m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)</t>
    </r>
  </si>
  <si>
    <r>
      <t>Current vol. water  (m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)</t>
    </r>
  </si>
  <si>
    <t>rain (mm)</t>
  </si>
  <si>
    <r>
      <t>lai (m</t>
    </r>
    <r>
      <rPr>
        <b/>
        <vertAlign val="superscript"/>
        <sz val="14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/m</t>
    </r>
    <r>
      <rPr>
        <b/>
        <vertAlign val="superscript"/>
        <sz val="14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</si>
  <si>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CONTROL</t>
  </si>
  <si>
    <t>maxsteps</t>
  </si>
  <si>
    <t>stepsize</t>
  </si>
  <si>
    <t>step</t>
  </si>
  <si>
    <t>criteria</t>
  </si>
  <si>
    <t>PRERUN</t>
  </si>
  <si>
    <t>INI</t>
  </si>
  <si>
    <t>initial rooting depth (m)</t>
  </si>
  <si>
    <r>
      <t>initial vol. water for layer 1 (m</t>
    </r>
    <r>
      <rPr>
        <i/>
        <vertAlign val="superscript"/>
        <sz val="14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/m</t>
    </r>
    <r>
      <rPr>
        <i/>
        <vertAlign val="superscript"/>
        <sz val="14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)</t>
    </r>
  </si>
  <si>
    <r>
      <t>initial vol. water for layer 2 (m</t>
    </r>
    <r>
      <rPr>
        <i/>
        <vertAlign val="superscript"/>
        <sz val="14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/m</t>
    </r>
    <r>
      <rPr>
        <i/>
        <vertAlign val="superscript"/>
        <sz val="14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)</t>
    </r>
  </si>
  <si>
    <r>
      <t>initial vol. water for layer 3 (m</t>
    </r>
    <r>
      <rPr>
        <i/>
        <vertAlign val="superscript"/>
        <sz val="14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/m</t>
    </r>
    <r>
      <rPr>
        <i/>
        <vertAlign val="superscript"/>
        <sz val="14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)</t>
    </r>
  </si>
  <si>
    <t>OPERATION</t>
  </si>
  <si>
    <t>REP</t>
  </si>
  <si>
    <t>calculate water fluxes</t>
  </si>
  <si>
    <t>update rooting depth</t>
  </si>
  <si>
    <t>day</t>
  </si>
  <si>
    <t>TO OUTPUT</t>
  </si>
  <si>
    <t>vwc 1</t>
  </si>
  <si>
    <t>vwc 2</t>
  </si>
  <si>
    <t>vwc 3</t>
  </si>
  <si>
    <t>wc 1</t>
  </si>
  <si>
    <t>wc 2</t>
  </si>
  <si>
    <t>wc 3</t>
  </si>
  <si>
    <t>rain</t>
  </si>
  <si>
    <t>lai</t>
  </si>
  <si>
    <t>OUTPUT</t>
  </si>
  <si>
    <t>OPTION</t>
  </si>
  <si>
    <t>clear previous output results</t>
  </si>
  <si>
    <t>RUN</t>
  </si>
  <si>
    <t>ClearOutput</t>
  </si>
  <si>
    <t>rootdepth</t>
  </si>
  <si>
    <t>t1</t>
  </si>
  <si>
    <t>t2</t>
  </si>
  <si>
    <t>t3</t>
  </si>
  <si>
    <t>Water table</t>
  </si>
  <si>
    <t>layer 1</t>
  </si>
  <si>
    <t>layer 2</t>
  </si>
  <si>
    <t>layer 3</t>
  </si>
  <si>
    <t>ACTUAL E</t>
  </si>
  <si>
    <t>ROOT ZONE WATER</t>
  </si>
  <si>
    <r>
      <t>n</t>
    </r>
    <r>
      <rPr>
        <vertAlign val="subscript"/>
        <sz val="14"/>
        <color theme="1"/>
        <rFont val="Calibri"/>
        <family val="2"/>
        <scheme val="minor"/>
      </rPr>
      <t>i</t>
    </r>
  </si>
  <si>
    <t>ACTUAL T</t>
  </si>
  <si>
    <t>Saturation (m)</t>
  </si>
  <si>
    <t>Permanent wilting (m)</t>
  </si>
  <si>
    <t>ROOT ZONE</t>
  </si>
  <si>
    <r>
      <t>Vol. water (m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)</t>
    </r>
  </si>
  <si>
    <t>Actual E (mm)</t>
  </si>
  <si>
    <r>
      <t>Critical point (m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4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)</t>
    </r>
  </si>
  <si>
    <t>Actual T (mm)</t>
  </si>
  <si>
    <r>
      <t>Reduction due to stress, R</t>
    </r>
    <r>
      <rPr>
        <vertAlign val="subscript"/>
        <sz val="14"/>
        <color theme="1"/>
        <rFont val="Calibri"/>
        <family val="2"/>
        <scheme val="minor"/>
      </rPr>
      <t>D,T</t>
    </r>
  </si>
  <si>
    <t>Potential T (mm)</t>
  </si>
  <si>
    <t>Potential E (mm)</t>
  </si>
  <si>
    <r>
      <t>Reduction, R</t>
    </r>
    <r>
      <rPr>
        <vertAlign val="subscript"/>
        <sz val="14"/>
        <color theme="1"/>
        <rFont val="Calibri"/>
        <family val="2"/>
        <scheme val="minor"/>
      </rPr>
      <t>D,E</t>
    </r>
  </si>
  <si>
    <t>n</t>
  </si>
  <si>
    <t>total ET</t>
  </si>
  <si>
    <t>E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</si>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</sst>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vertAlign val="subscript"/>
      <sz val="14"/>
      <name val="Calibri"/>
      <family val="2"/>
      <scheme val="minor"/>
    </font>
    <font>
      <vertAlign val="superscript"/>
      <sz val="14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vertAlign val="superscript"/>
      <sz val="14"/>
      <color theme="1"/>
      <name val="Calibri"/>
      <family val="2"/>
      <scheme val="minor"/>
    </font>
    <font>
      <i/>
      <vertAlign val="super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10386201724784"/>
          <c:y val="0.17501988862370724"/>
          <c:w val="0.76803899512560925"/>
          <c:h val="0.62896410025119176"/>
        </c:manualLayout>
      </c:layout>
      <c:scatterChart>
        <c:scatterStyle val="lineMarker"/>
        <c:varyColors val="0"/>
        <c:ser>
          <c:idx val="0"/>
          <c:order val="0"/>
          <c:tx>
            <c:strRef>
              <c:f>Output!$H$2</c:f>
              <c:strCache>
                <c:ptCount val="1"/>
                <c:pt idx="0">
                  <c:v>t1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Output!$H$7:$H$600</c:f>
              <c:numCache>
                <c:formatCode>General</c:formatCode>
                <c:ptCount val="594"/>
                <c:pt idx="0">
                  <c:v>6.0647738716371004E-2</c:v>
                </c:pt>
                <c:pt idx="1">
                  <c:v>4.6443912038095628E-2</c:v>
                </c:pt>
                <c:pt idx="2">
                  <c:v>0.4</c:v>
                </c:pt>
                <c:pt idx="3">
                  <c:v>0.3</c:v>
                </c:pt>
                <c:pt idx="4">
                  <c:v>0.3</c:v>
                </c:pt>
                <c:pt idx="5">
                  <c:v>0.3033628268874472</c:v>
                </c:pt>
                <c:pt idx="6">
                  <c:v>0.17725479034509475</c:v>
                </c:pt>
                <c:pt idx="7">
                  <c:v>0.4037085210025409</c:v>
                </c:pt>
                <c:pt idx="8">
                  <c:v>0.23400820452342561</c:v>
                </c:pt>
                <c:pt idx="9">
                  <c:v>0.25083027999010127</c:v>
                </c:pt>
                <c:pt idx="10">
                  <c:v>0.1810623330692655</c:v>
                </c:pt>
                <c:pt idx="11">
                  <c:v>0.15734265190793642</c:v>
                </c:pt>
                <c:pt idx="12">
                  <c:v>0.13494210331427986</c:v>
                </c:pt>
                <c:pt idx="13">
                  <c:v>0.1149714067485276</c:v>
                </c:pt>
                <c:pt idx="14">
                  <c:v>0.11840777235194859</c:v>
                </c:pt>
                <c:pt idx="15">
                  <c:v>0.10186811455503468</c:v>
                </c:pt>
                <c:pt idx="16">
                  <c:v>8.9978039247734468E-2</c:v>
                </c:pt>
                <c:pt idx="17">
                  <c:v>0.12259127043796954</c:v>
                </c:pt>
                <c:pt idx="18">
                  <c:v>0.12000756271662515</c:v>
                </c:pt>
                <c:pt idx="19">
                  <c:v>8.8923635595451592E-2</c:v>
                </c:pt>
                <c:pt idx="20">
                  <c:v>7.5807246321901486E-2</c:v>
                </c:pt>
                <c:pt idx="21">
                  <c:v>7.7585026049865197E-2</c:v>
                </c:pt>
                <c:pt idx="22">
                  <c:v>7.8481387285329843E-2</c:v>
                </c:pt>
                <c:pt idx="23">
                  <c:v>4.6839195162675241E-2</c:v>
                </c:pt>
                <c:pt idx="24">
                  <c:v>6.4680505327925783E-2</c:v>
                </c:pt>
                <c:pt idx="25">
                  <c:v>8.5002075290657203E-2</c:v>
                </c:pt>
                <c:pt idx="26">
                  <c:v>8.826903198824658E-2</c:v>
                </c:pt>
                <c:pt idx="27">
                  <c:v>8.7985935829897485E-2</c:v>
                </c:pt>
                <c:pt idx="28">
                  <c:v>6.9128526259661247E-2</c:v>
                </c:pt>
                <c:pt idx="29">
                  <c:v>7.640528724408259E-2</c:v>
                </c:pt>
                <c:pt idx="30">
                  <c:v>0.10379441537331255</c:v>
                </c:pt>
                <c:pt idx="31">
                  <c:v>3.6035493255362767E-2</c:v>
                </c:pt>
                <c:pt idx="32">
                  <c:v>7.0626423621512724E-2</c:v>
                </c:pt>
                <c:pt idx="33">
                  <c:v>7.6274781969915023E-2</c:v>
                </c:pt>
                <c:pt idx="34">
                  <c:v>9.1615976135735924E-2</c:v>
                </c:pt>
                <c:pt idx="35">
                  <c:v>7.0669204914584074E-2</c:v>
                </c:pt>
                <c:pt idx="36">
                  <c:v>0.10337356621491456</c:v>
                </c:pt>
                <c:pt idx="37">
                  <c:v>0.38431902216057562</c:v>
                </c:pt>
                <c:pt idx="38">
                  <c:v>0.57247019790903109</c:v>
                </c:pt>
                <c:pt idx="39">
                  <c:v>0.6359044995408627</c:v>
                </c:pt>
                <c:pt idx="40">
                  <c:v>0.49753159903364697</c:v>
                </c:pt>
                <c:pt idx="41">
                  <c:v>0.3164322229275951</c:v>
                </c:pt>
                <c:pt idx="42">
                  <c:v>0.23827763414089168</c:v>
                </c:pt>
                <c:pt idx="43">
                  <c:v>0.14001404108543683</c:v>
                </c:pt>
                <c:pt idx="44">
                  <c:v>0.45726807888970022</c:v>
                </c:pt>
                <c:pt idx="45">
                  <c:v>0.40337616528092696</c:v>
                </c:pt>
                <c:pt idx="46">
                  <c:v>0.32960616392386349</c:v>
                </c:pt>
                <c:pt idx="47">
                  <c:v>0.21554278646705649</c:v>
                </c:pt>
                <c:pt idx="48">
                  <c:v>0.59221306403306817</c:v>
                </c:pt>
                <c:pt idx="49">
                  <c:v>0.62284354550862542</c:v>
                </c:pt>
                <c:pt idx="50">
                  <c:v>0.57082026510382045</c:v>
                </c:pt>
                <c:pt idx="51">
                  <c:v>0.76093808547686692</c:v>
                </c:pt>
                <c:pt idx="52">
                  <c:v>0.47221219393064162</c:v>
                </c:pt>
                <c:pt idx="53">
                  <c:v>0.4641182612968609</c:v>
                </c:pt>
                <c:pt idx="54">
                  <c:v>0.91259259259259207</c:v>
                </c:pt>
                <c:pt idx="55">
                  <c:v>0.61700768482675727</c:v>
                </c:pt>
                <c:pt idx="56">
                  <c:v>0.53337692718598573</c:v>
                </c:pt>
                <c:pt idx="57">
                  <c:v>0.63340098630917363</c:v>
                </c:pt>
                <c:pt idx="58">
                  <c:v>0.3384153165406929</c:v>
                </c:pt>
                <c:pt idx="59">
                  <c:v>0.68384006663889996</c:v>
                </c:pt>
                <c:pt idx="60">
                  <c:v>0.48344381542233156</c:v>
                </c:pt>
                <c:pt idx="61">
                  <c:v>0.35711384336577645</c:v>
                </c:pt>
                <c:pt idx="62">
                  <c:v>0.50258141682690094</c:v>
                </c:pt>
                <c:pt idx="63">
                  <c:v>0.47871434653043815</c:v>
                </c:pt>
                <c:pt idx="64">
                  <c:v>0.43926664293342804</c:v>
                </c:pt>
                <c:pt idx="65">
                  <c:v>0.32075289175108118</c:v>
                </c:pt>
                <c:pt idx="66">
                  <c:v>0.71156865112909029</c:v>
                </c:pt>
                <c:pt idx="67">
                  <c:v>0.26509533553154591</c:v>
                </c:pt>
                <c:pt idx="68">
                  <c:v>0.5537163916363772</c:v>
                </c:pt>
                <c:pt idx="69">
                  <c:v>0.7131732840874111</c:v>
                </c:pt>
                <c:pt idx="70">
                  <c:v>0.56894673195962653</c:v>
                </c:pt>
                <c:pt idx="71">
                  <c:v>0.31029481997460645</c:v>
                </c:pt>
                <c:pt idx="72">
                  <c:v>0.3354476300604245</c:v>
                </c:pt>
                <c:pt idx="73">
                  <c:v>0.46074546638558039</c:v>
                </c:pt>
                <c:pt idx="74">
                  <c:v>0.48336468691212009</c:v>
                </c:pt>
                <c:pt idx="75">
                  <c:v>0.6879326777055117</c:v>
                </c:pt>
                <c:pt idx="76">
                  <c:v>0.58239851381559438</c:v>
                </c:pt>
                <c:pt idx="77">
                  <c:v>0.76708893510732479</c:v>
                </c:pt>
                <c:pt idx="78">
                  <c:v>0.40600343552566437</c:v>
                </c:pt>
                <c:pt idx="79">
                  <c:v>0.48142011834319504</c:v>
                </c:pt>
                <c:pt idx="80">
                  <c:v>0.23788582884489232</c:v>
                </c:pt>
                <c:pt idx="81">
                  <c:v>0.74456889321754138</c:v>
                </c:pt>
                <c:pt idx="82">
                  <c:v>0.65855559175479184</c:v>
                </c:pt>
                <c:pt idx="83">
                  <c:v>0.40852761844153362</c:v>
                </c:pt>
                <c:pt idx="84">
                  <c:v>0.54280613316530102</c:v>
                </c:pt>
                <c:pt idx="85">
                  <c:v>0.61169038021034272</c:v>
                </c:pt>
                <c:pt idx="86">
                  <c:v>0.666717492315964</c:v>
                </c:pt>
                <c:pt idx="87">
                  <c:v>0.34195639039929682</c:v>
                </c:pt>
                <c:pt idx="88">
                  <c:v>0.33828776636152247</c:v>
                </c:pt>
                <c:pt idx="89">
                  <c:v>0.59767310940138829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25-4332-8794-09997720BD6D}"/>
            </c:ext>
          </c:extLst>
        </c:ser>
        <c:ser>
          <c:idx val="1"/>
          <c:order val="1"/>
          <c:tx>
            <c:strRef>
              <c:f>Output!$I$2</c:f>
              <c:strCache>
                <c:ptCount val="1"/>
                <c:pt idx="0">
                  <c:v>t2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Output!$I$7:$I$600</c:f>
              <c:numCache>
                <c:formatCode>General</c:formatCode>
                <c:ptCount val="5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1.3566536357699471E-2</c:v>
                </c:pt>
                <c:pt idx="6">
                  <c:v>1.8715226594812017E-2</c:v>
                </c:pt>
                <c:pt idx="7">
                  <c:v>7.0692307540359045E-2</c:v>
                </c:pt>
                <c:pt idx="8">
                  <c:v>5.8458555182060244E-2</c:v>
                </c:pt>
                <c:pt idx="9">
                  <c:v>8.2239436062328336E-2</c:v>
                </c:pt>
                <c:pt idx="10">
                  <c:v>7.3911662062292591E-2</c:v>
                </c:pt>
                <c:pt idx="11">
                  <c:v>7.7127114250893053E-2</c:v>
                </c:pt>
                <c:pt idx="12">
                  <c:v>7.7371162384555645E-2</c:v>
                </c:pt>
                <c:pt idx="13">
                  <c:v>7.5589218868965219E-2</c:v>
                </c:pt>
                <c:pt idx="14">
                  <c:v>8.7890305250930986E-2</c:v>
                </c:pt>
                <c:pt idx="15">
                  <c:v>8.4310040299675634E-2</c:v>
                </c:pt>
                <c:pt idx="16">
                  <c:v>8.2191788813729474E-2</c:v>
                </c:pt>
                <c:pt idx="17">
                  <c:v>0.12254992430966001</c:v>
                </c:pt>
                <c:pt idx="18">
                  <c:v>0.13034843696025175</c:v>
                </c:pt>
                <c:pt idx="19">
                  <c:v>0.1043014071645899</c:v>
                </c:pt>
                <c:pt idx="20">
                  <c:v>9.551064187090362E-2</c:v>
                </c:pt>
                <c:pt idx="21">
                  <c:v>0.10451345164492025</c:v>
                </c:pt>
                <c:pt idx="22">
                  <c:v>0.11257459537124685</c:v>
                </c:pt>
                <c:pt idx="23">
                  <c:v>7.1283581068338472E-2</c:v>
                </c:pt>
                <c:pt idx="24">
                  <c:v>0.10410116833843683</c:v>
                </c:pt>
                <c:pt idx="25">
                  <c:v>0.1442623189268907</c:v>
                </c:pt>
                <c:pt idx="26">
                  <c:v>0.15755589046713425</c:v>
                </c:pt>
                <c:pt idx="27">
                  <c:v>0.16478205484701067</c:v>
                </c:pt>
                <c:pt idx="28">
                  <c:v>0.13554503349113775</c:v>
                </c:pt>
                <c:pt idx="29">
                  <c:v>0.15653766167080349</c:v>
                </c:pt>
                <c:pt idx="30">
                  <c:v>0.22179330681844903</c:v>
                </c:pt>
                <c:pt idx="31">
                  <c:v>8.0178151264985884E-2</c:v>
                </c:pt>
                <c:pt idx="32">
                  <c:v>0.16336957725265727</c:v>
                </c:pt>
                <c:pt idx="33">
                  <c:v>0.1831638733498252</c:v>
                </c:pt>
                <c:pt idx="34">
                  <c:v>0.22808956714291118</c:v>
                </c:pt>
                <c:pt idx="35">
                  <c:v>0.18217962962347906</c:v>
                </c:pt>
                <c:pt idx="36">
                  <c:v>0.27401685327915898</c:v>
                </c:pt>
                <c:pt idx="37">
                  <c:v>1.0434861492783341</c:v>
                </c:pt>
                <c:pt idx="38">
                  <c:v>1.5892519578719955</c:v>
                </c:pt>
                <c:pt idx="39">
                  <c:v>1.8021120293847566</c:v>
                </c:pt>
                <c:pt idx="40">
                  <c:v>1.4372746052309093</c:v>
                </c:pt>
                <c:pt idx="41">
                  <c:v>0.93061913194560442</c:v>
                </c:pt>
                <c:pt idx="42">
                  <c:v>0.71259855086341717</c:v>
                </c:pt>
                <c:pt idx="43">
                  <c:v>0.42535331644333191</c:v>
                </c:pt>
                <c:pt idx="44">
                  <c:v>1.409788166544923</c:v>
                </c:pt>
                <c:pt idx="45">
                  <c:v>1.2610229276895941</c:v>
                </c:pt>
                <c:pt idx="46">
                  <c:v>1.0439877580606189</c:v>
                </c:pt>
                <c:pt idx="47">
                  <c:v>0.69120564817439234</c:v>
                </c:pt>
                <c:pt idx="48">
                  <c:v>1.9214870919036651</c:v>
                </c:pt>
                <c:pt idx="49">
                  <c:v>2.0434265318262925</c:v>
                </c:pt>
                <c:pt idx="50">
                  <c:v>1.8925848767198548</c:v>
                </c:pt>
                <c:pt idx="51">
                  <c:v>2.5483259494368391</c:v>
                </c:pt>
                <c:pt idx="52">
                  <c:v>1.5965512115356022</c:v>
                </c:pt>
                <c:pt idx="53">
                  <c:v>1.5835056612272467</c:v>
                </c:pt>
                <c:pt idx="54">
                  <c:v>3.1407407407407391</c:v>
                </c:pt>
                <c:pt idx="55">
                  <c:v>2.1411204973207978</c:v>
                </c:pt>
                <c:pt idx="56">
                  <c:v>1.8656173442133752</c:v>
                </c:pt>
                <c:pt idx="57">
                  <c:v>2.232325660061599</c:v>
                </c:pt>
                <c:pt idx="58">
                  <c:v>1.2013825519533061</c:v>
                </c:pt>
                <c:pt idx="59">
                  <c:v>2.4446064139941677</c:v>
                </c:pt>
                <c:pt idx="60">
                  <c:v>1.7398106482153501</c:v>
                </c:pt>
                <c:pt idx="61">
                  <c:v>1.2934509209642389</c:v>
                </c:pt>
                <c:pt idx="62">
                  <c:v>1.8315947251283133</c:v>
                </c:pt>
                <c:pt idx="63">
                  <c:v>1.7550021285653468</c:v>
                </c:pt>
                <c:pt idx="64">
                  <c:v>1.6196155215379129</c:v>
                </c:pt>
                <c:pt idx="65">
                  <c:v>1.1891764900982569</c:v>
                </c:pt>
                <c:pt idx="66">
                  <c:v>2.6521555367709198</c:v>
                </c:pt>
                <c:pt idx="67">
                  <c:v>0.993138187647434</c:v>
                </c:pt>
                <c:pt idx="68">
                  <c:v>2.0847000417927832</c:v>
                </c:pt>
                <c:pt idx="69">
                  <c:v>2.69790704832256</c:v>
                </c:pt>
                <c:pt idx="70">
                  <c:v>2.1622705666838264</c:v>
                </c:pt>
                <c:pt idx="71">
                  <c:v>1.1845507810224922</c:v>
                </c:pt>
                <c:pt idx="72">
                  <c:v>1.2861215975694082</c:v>
                </c:pt>
                <c:pt idx="73">
                  <c:v>1.7739318550567866</c:v>
                </c:pt>
                <c:pt idx="74">
                  <c:v>1.8685837140553605</c:v>
                </c:pt>
                <c:pt idx="75">
                  <c:v>2.6698767294016599</c:v>
                </c:pt>
                <c:pt idx="76">
                  <c:v>2.2689320091049199</c:v>
                </c:pt>
                <c:pt idx="77">
                  <c:v>2.9995322871160006</c:v>
                </c:pt>
                <c:pt idx="78">
                  <c:v>1.593297813491716</c:v>
                </c:pt>
                <c:pt idx="79">
                  <c:v>1.8958579881656799</c:v>
                </c:pt>
                <c:pt idx="80">
                  <c:v>0.93998577248916726</c:v>
                </c:pt>
                <c:pt idx="81">
                  <c:v>2.9518031545058556</c:v>
                </c:pt>
                <c:pt idx="82">
                  <c:v>2.6191786491031865</c:v>
                </c:pt>
                <c:pt idx="83">
                  <c:v>1.6298449445739196</c:v>
                </c:pt>
                <c:pt idx="84">
                  <c:v>2.1721277042638083</c:v>
                </c:pt>
                <c:pt idx="85">
                  <c:v>2.4550085795683114</c:v>
                </c:pt>
                <c:pt idx="86">
                  <c:v>2.6835541574043598</c:v>
                </c:pt>
                <c:pt idx="87">
                  <c:v>1.3802383698577461</c:v>
                </c:pt>
                <c:pt idx="88">
                  <c:v>1.3691576952294713</c:v>
                </c:pt>
                <c:pt idx="89">
                  <c:v>2.4254081441170943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25-4332-8794-09997720BD6D}"/>
            </c:ext>
          </c:extLst>
        </c:ser>
        <c:ser>
          <c:idx val="2"/>
          <c:order val="2"/>
          <c:tx>
            <c:strRef>
              <c:f>Output!$J$2</c:f>
              <c:strCache>
                <c:ptCount val="1"/>
                <c:pt idx="0">
                  <c:v>t3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Output!$J$7:$J$600</c:f>
              <c:numCache>
                <c:formatCode>General</c:formatCode>
                <c:ptCount val="5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1.6028164534497673E-3</c:v>
                </c:pt>
                <c:pt idx="37">
                  <c:v>1.5162014735657377E-2</c:v>
                </c:pt>
                <c:pt idx="38">
                  <c:v>3.8277844218973782E-2</c:v>
                </c:pt>
                <c:pt idx="39">
                  <c:v>6.1983471074380792E-2</c:v>
                </c:pt>
                <c:pt idx="40">
                  <c:v>6.5193795735443816E-2</c:v>
                </c:pt>
                <c:pt idx="41">
                  <c:v>5.2948645126800441E-2</c:v>
                </c:pt>
                <c:pt idx="42">
                  <c:v>4.9123814995691184E-2</c:v>
                </c:pt>
                <c:pt idx="43">
                  <c:v>3.4632642471231212E-2</c:v>
                </c:pt>
                <c:pt idx="44">
                  <c:v>0.13294375456537688</c:v>
                </c:pt>
                <c:pt idx="45">
                  <c:v>0.135600907029479</c:v>
                </c:pt>
                <c:pt idx="46">
                  <c:v>0.12640607801551762</c:v>
                </c:pt>
                <c:pt idx="47">
                  <c:v>9.3251565358551169E-2</c:v>
                </c:pt>
                <c:pt idx="48">
                  <c:v>0.28629984406326647</c:v>
                </c:pt>
                <c:pt idx="49">
                  <c:v>0.33372992266508161</c:v>
                </c:pt>
                <c:pt idx="50">
                  <c:v>0.33659485817632456</c:v>
                </c:pt>
                <c:pt idx="51">
                  <c:v>0.4907359650862938</c:v>
                </c:pt>
                <c:pt idx="52">
                  <c:v>0.33123659453375609</c:v>
                </c:pt>
                <c:pt idx="53">
                  <c:v>0.35237607747589228</c:v>
                </c:pt>
                <c:pt idx="54">
                  <c:v>0.74666666666666881</c:v>
                </c:pt>
                <c:pt idx="55">
                  <c:v>0.54187181785244476</c:v>
                </c:pt>
                <c:pt idx="56">
                  <c:v>0.50100572860063886</c:v>
                </c:pt>
                <c:pt idx="57">
                  <c:v>0.63427335362922732</c:v>
                </c:pt>
                <c:pt idx="58">
                  <c:v>0.36020213150600078</c:v>
                </c:pt>
                <c:pt idx="59">
                  <c:v>0.77155351936693217</c:v>
                </c:pt>
                <c:pt idx="60">
                  <c:v>0.57674553636231818</c:v>
                </c:pt>
                <c:pt idx="61">
                  <c:v>0.44943523566998489</c:v>
                </c:pt>
                <c:pt idx="62">
                  <c:v>0.66582385804478572</c:v>
                </c:pt>
                <c:pt idx="63">
                  <c:v>0.66628352490421516</c:v>
                </c:pt>
                <c:pt idx="64">
                  <c:v>0.6411178355286592</c:v>
                </c:pt>
                <c:pt idx="65">
                  <c:v>0.49007061815066194</c:v>
                </c:pt>
                <c:pt idx="66">
                  <c:v>1.1362758120999896</c:v>
                </c:pt>
                <c:pt idx="67">
                  <c:v>0.44176647682101999</c:v>
                </c:pt>
                <c:pt idx="68">
                  <c:v>0.96158356657083999</c:v>
                </c:pt>
                <c:pt idx="69">
                  <c:v>1.288919667590029</c:v>
                </c:pt>
                <c:pt idx="70">
                  <c:v>1.0687827013565465</c:v>
                </c:pt>
                <c:pt idx="71">
                  <c:v>0.60515439900290124</c:v>
                </c:pt>
                <c:pt idx="72">
                  <c:v>0.67843077237016713</c:v>
                </c:pt>
                <c:pt idx="73">
                  <c:v>0.96532267855763298</c:v>
                </c:pt>
                <c:pt idx="74">
                  <c:v>1.0480515990325192</c:v>
                </c:pt>
                <c:pt idx="75">
                  <c:v>1.5421905928928288</c:v>
                </c:pt>
                <c:pt idx="76">
                  <c:v>1.348669477079486</c:v>
                </c:pt>
                <c:pt idx="77">
                  <c:v>1.8333787777766741</c:v>
                </c:pt>
                <c:pt idx="78">
                  <c:v>1.0006987509826195</c:v>
                </c:pt>
                <c:pt idx="79">
                  <c:v>1.2227218934911255</c:v>
                </c:pt>
                <c:pt idx="80">
                  <c:v>0.62212839866594061</c:v>
                </c:pt>
                <c:pt idx="81">
                  <c:v>2.0036279522766032</c:v>
                </c:pt>
                <c:pt idx="82">
                  <c:v>1.8222657591420215</c:v>
                </c:pt>
                <c:pt idx="83">
                  <c:v>1.1616274369845472</c:v>
                </c:pt>
                <c:pt idx="84">
                  <c:v>1.5850661625708902</c:v>
                </c:pt>
                <c:pt idx="85">
                  <c:v>1.8333010402213465</c:v>
                </c:pt>
                <c:pt idx="86">
                  <c:v>2.0497283502796768</c:v>
                </c:pt>
                <c:pt idx="87">
                  <c:v>1.0778052397429569</c:v>
                </c:pt>
                <c:pt idx="88">
                  <c:v>1.0925545384090061</c:v>
                </c:pt>
                <c:pt idx="89">
                  <c:v>1.9769187464815174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25-4332-8794-09997720BD6D}"/>
            </c:ext>
          </c:extLst>
        </c:ser>
        <c:ser>
          <c:idx val="3"/>
          <c:order val="3"/>
          <c:tx>
            <c:strRef>
              <c:f>Output!$M$2</c:f>
              <c:strCache>
                <c:ptCount val="1"/>
                <c:pt idx="0">
                  <c:v>E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Output!$M$7:$M$600</c:f>
              <c:numCache>
                <c:formatCode>General</c:formatCode>
                <c:ptCount val="594"/>
                <c:pt idx="0">
                  <c:v>4.196696070929999</c:v>
                </c:pt>
                <c:pt idx="1">
                  <c:v>2.8955705294056351</c:v>
                </c:pt>
                <c:pt idx="2">
                  <c:v>5.2993736388842176</c:v>
                </c:pt>
                <c:pt idx="3">
                  <c:v>3.7995573300816639</c:v>
                </c:pt>
                <c:pt idx="4">
                  <c:v>3.4997605111708903</c:v>
                </c:pt>
                <c:pt idx="5">
                  <c:v>3.1986545446400161</c:v>
                </c:pt>
                <c:pt idx="6">
                  <c:v>2.4972648185127024</c:v>
                </c:pt>
                <c:pt idx="7">
                  <c:v>4.6990104756421305</c:v>
                </c:pt>
                <c:pt idx="8">
                  <c:v>2.9971490811973953</c:v>
                </c:pt>
                <c:pt idx="9">
                  <c:v>4.0809817094405085</c:v>
                </c:pt>
                <c:pt idx="10">
                  <c:v>2.8775977461974591</c:v>
                </c:pt>
                <c:pt idx="11">
                  <c:v>2.6658701759877546</c:v>
                </c:pt>
                <c:pt idx="12">
                  <c:v>2.6401273165364625</c:v>
                </c:pt>
                <c:pt idx="13">
                  <c:v>2.5934836622012192</c:v>
                </c:pt>
                <c:pt idx="14">
                  <c:v>2.4295786955928089</c:v>
                </c:pt>
                <c:pt idx="15">
                  <c:v>2.3264138412076467</c:v>
                </c:pt>
                <c:pt idx="16">
                  <c:v>2.0542790172874228</c:v>
                </c:pt>
                <c:pt idx="17">
                  <c:v>2.419531878126465</c:v>
                </c:pt>
                <c:pt idx="18">
                  <c:v>2.3768837756781873</c:v>
                </c:pt>
                <c:pt idx="19">
                  <c:v>1.886415566409563</c:v>
                </c:pt>
                <c:pt idx="20">
                  <c:v>1.422472718224175</c:v>
                </c:pt>
                <c:pt idx="21">
                  <c:v>1.4136171003184355</c:v>
                </c:pt>
                <c:pt idx="22">
                  <c:v>1.3744301078526389</c:v>
                </c:pt>
                <c:pt idx="23">
                  <c:v>1.0480052364790102</c:v>
                </c:pt>
                <c:pt idx="24">
                  <c:v>1.1480811851192441</c:v>
                </c:pt>
                <c:pt idx="25">
                  <c:v>1.3934109365205349</c:v>
                </c:pt>
                <c:pt idx="26">
                  <c:v>1.3128208732391728</c:v>
                </c:pt>
                <c:pt idx="27">
                  <c:v>1.1518521606599081</c:v>
                </c:pt>
                <c:pt idx="28">
                  <c:v>0.95106914723690406</c:v>
                </c:pt>
                <c:pt idx="29">
                  <c:v>1.8287931789096941</c:v>
                </c:pt>
                <c:pt idx="30">
                  <c:v>1.9975321052186374</c:v>
                </c:pt>
                <c:pt idx="31">
                  <c:v>0.75985517629974142</c:v>
                </c:pt>
                <c:pt idx="32">
                  <c:v>1.4752328763331146</c:v>
                </c:pt>
                <c:pt idx="33">
                  <c:v>1.206046037556576</c:v>
                </c:pt>
                <c:pt idx="34">
                  <c:v>1.1616200282627884</c:v>
                </c:pt>
                <c:pt idx="35">
                  <c:v>0.84949526298356881</c:v>
                </c:pt>
                <c:pt idx="36">
                  <c:v>1.1092510798929149</c:v>
                </c:pt>
                <c:pt idx="37">
                  <c:v>2.7996685930099017</c:v>
                </c:pt>
                <c:pt idx="38">
                  <c:v>2.7999496321107498</c:v>
                </c:pt>
                <c:pt idx="39">
                  <c:v>2.8999203628599952</c:v>
                </c:pt>
                <c:pt idx="40">
                  <c:v>2.2999499417766631</c:v>
                </c:pt>
                <c:pt idx="41">
                  <c:v>1.3999587060435554</c:v>
                </c:pt>
                <c:pt idx="42">
                  <c:v>0.99995196812337861</c:v>
                </c:pt>
                <c:pt idx="43">
                  <c:v>0.49997051857850688</c:v>
                </c:pt>
                <c:pt idx="44">
                  <c:v>1.8998710237980569</c:v>
                </c:pt>
                <c:pt idx="45">
                  <c:v>1.4999785786003086</c:v>
                </c:pt>
                <c:pt idx="46">
                  <c:v>1.1999658027184972</c:v>
                </c:pt>
                <c:pt idx="47">
                  <c:v>0.79996458415614968</c:v>
                </c:pt>
                <c:pt idx="48">
                  <c:v>2.0998635508861256</c:v>
                </c:pt>
                <c:pt idx="49">
                  <c:v>2.2997916051445988</c:v>
                </c:pt>
                <c:pt idx="50">
                  <c:v>2.1997320906375757</c:v>
                </c:pt>
                <c:pt idx="51">
                  <c:v>2.4996116423673058</c:v>
                </c:pt>
                <c:pt idx="52">
                  <c:v>1.5997081149325447</c:v>
                </c:pt>
                <c:pt idx="53">
                  <c:v>1.4998797912025659</c:v>
                </c:pt>
                <c:pt idx="54">
                  <c:v>2.7999358121654603</c:v>
                </c:pt>
                <c:pt idx="55">
                  <c:v>1.8998861685189203</c:v>
                </c:pt>
                <c:pt idx="56">
                  <c:v>1.5998793134841609</c:v>
                </c:pt>
                <c:pt idx="57">
                  <c:v>1.6998823671113825</c:v>
                </c:pt>
                <c:pt idx="58">
                  <c:v>0.89992782477112365</c:v>
                </c:pt>
                <c:pt idx="59">
                  <c:v>1.9999381534394836</c:v>
                </c:pt>
                <c:pt idx="60">
                  <c:v>1.1999385690289028</c:v>
                </c:pt>
                <c:pt idx="61">
                  <c:v>0.89993768798601659</c:v>
                </c:pt>
                <c:pt idx="62">
                  <c:v>1.1999049043039942</c:v>
                </c:pt>
                <c:pt idx="63">
                  <c:v>1.0999835222126932</c:v>
                </c:pt>
                <c:pt idx="64">
                  <c:v>0.99997727421701821</c:v>
                </c:pt>
                <c:pt idx="65">
                  <c:v>0.69997935599418615</c:v>
                </c:pt>
                <c:pt idx="66">
                  <c:v>1.2999843166693548</c:v>
                </c:pt>
                <c:pt idx="67">
                  <c:v>0.49998847341345592</c:v>
                </c:pt>
                <c:pt idx="68">
                  <c:v>1.0999591624233334</c:v>
                </c:pt>
                <c:pt idx="69">
                  <c:v>1.4999780618737257</c:v>
                </c:pt>
                <c:pt idx="70">
                  <c:v>0.99996720732893485</c:v>
                </c:pt>
                <c:pt idx="71">
                  <c:v>0.59998307800261907</c:v>
                </c:pt>
                <c:pt idx="72">
                  <c:v>0.49997905006648863</c:v>
                </c:pt>
                <c:pt idx="73">
                  <c:v>0.69998770131182297</c:v>
                </c:pt>
                <c:pt idx="74">
                  <c:v>0.69997684079444644</c:v>
                </c:pt>
                <c:pt idx="75">
                  <c:v>0.89998427478695098</c:v>
                </c:pt>
                <c:pt idx="76">
                  <c:v>0.69997614000316277</c:v>
                </c:pt>
                <c:pt idx="77">
                  <c:v>0.79998613450859957</c:v>
                </c:pt>
                <c:pt idx="78">
                  <c:v>0.49998284252277392</c:v>
                </c:pt>
                <c:pt idx="79">
                  <c:v>0.39998481207715136</c:v>
                </c:pt>
                <c:pt idx="80">
                  <c:v>0.19999050419362394</c:v>
                </c:pt>
                <c:pt idx="81">
                  <c:v>0.59997731893621176</c:v>
                </c:pt>
                <c:pt idx="82">
                  <c:v>0.39999172654982018</c:v>
                </c:pt>
                <c:pt idx="83">
                  <c:v>0.19999511145575755</c:v>
                </c:pt>
                <c:pt idx="84">
                  <c:v>0.29999356116824516</c:v>
                </c:pt>
                <c:pt idx="85">
                  <c:v>0.19999803286733212</c:v>
                </c:pt>
                <c:pt idx="86">
                  <c:v>0.19999635240618402</c:v>
                </c:pt>
                <c:pt idx="87">
                  <c:v>9.9996920071444631E-2</c:v>
                </c:pt>
                <c:pt idx="88">
                  <c:v>0</c:v>
                </c:pt>
                <c:pt idx="8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8-4DF6-B032-C43B04087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210272"/>
        <c:axId val="675212240"/>
      </c:scatterChart>
      <c:valAx>
        <c:axId val="675210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2240"/>
        <c:crosses val="autoZero"/>
        <c:crossBetween val="midCat"/>
      </c:valAx>
      <c:valAx>
        <c:axId val="675212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loss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0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Output!$L$2</c:f>
              <c:strCache>
                <c:ptCount val="1"/>
                <c:pt idx="0">
                  <c:v>rootdepth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Output!$L$7:$L$600</c:f>
              <c:numCache>
                <c:formatCode>General</c:formatCode>
                <c:ptCount val="594"/>
                <c:pt idx="0">
                  <c:v>1.8000000000000002E-2</c:v>
                </c:pt>
                <c:pt idx="1">
                  <c:v>2.6000000000000002E-2</c:v>
                </c:pt>
                <c:pt idx="2">
                  <c:v>3.4000000000000002E-2</c:v>
                </c:pt>
                <c:pt idx="3">
                  <c:v>4.2000000000000003E-2</c:v>
                </c:pt>
                <c:pt idx="4">
                  <c:v>0.05</c:v>
                </c:pt>
                <c:pt idx="5">
                  <c:v>5.8000000000000003E-2</c:v>
                </c:pt>
                <c:pt idx="6">
                  <c:v>6.6000000000000003E-2</c:v>
                </c:pt>
                <c:pt idx="7">
                  <c:v>7.400000000000001E-2</c:v>
                </c:pt>
                <c:pt idx="8">
                  <c:v>8.2000000000000017E-2</c:v>
                </c:pt>
                <c:pt idx="9">
                  <c:v>9.0000000000000024E-2</c:v>
                </c:pt>
                <c:pt idx="10">
                  <c:v>9.8000000000000032E-2</c:v>
                </c:pt>
                <c:pt idx="11">
                  <c:v>0.10600000000000004</c:v>
                </c:pt>
                <c:pt idx="12">
                  <c:v>0.11400000000000005</c:v>
                </c:pt>
                <c:pt idx="13">
                  <c:v>0.12200000000000005</c:v>
                </c:pt>
                <c:pt idx="14">
                  <c:v>0.13000000000000006</c:v>
                </c:pt>
                <c:pt idx="15">
                  <c:v>0.13800000000000007</c:v>
                </c:pt>
                <c:pt idx="16">
                  <c:v>0.14600000000000007</c:v>
                </c:pt>
                <c:pt idx="17">
                  <c:v>0.15400000000000008</c:v>
                </c:pt>
                <c:pt idx="18">
                  <c:v>0.16200000000000009</c:v>
                </c:pt>
                <c:pt idx="19">
                  <c:v>0.1700000000000001</c:v>
                </c:pt>
                <c:pt idx="20">
                  <c:v>0.1780000000000001</c:v>
                </c:pt>
                <c:pt idx="21">
                  <c:v>0.18600000000000011</c:v>
                </c:pt>
                <c:pt idx="22">
                  <c:v>0.19400000000000012</c:v>
                </c:pt>
                <c:pt idx="23">
                  <c:v>0.20200000000000012</c:v>
                </c:pt>
                <c:pt idx="24">
                  <c:v>0.21000000000000013</c:v>
                </c:pt>
                <c:pt idx="25">
                  <c:v>0.21800000000000014</c:v>
                </c:pt>
                <c:pt idx="26">
                  <c:v>0.22600000000000015</c:v>
                </c:pt>
                <c:pt idx="27">
                  <c:v>0.23400000000000015</c:v>
                </c:pt>
                <c:pt idx="28">
                  <c:v>0.24200000000000016</c:v>
                </c:pt>
                <c:pt idx="29">
                  <c:v>0.25000000000000017</c:v>
                </c:pt>
                <c:pt idx="30">
                  <c:v>0.25800000000000017</c:v>
                </c:pt>
                <c:pt idx="31">
                  <c:v>0.26600000000000018</c:v>
                </c:pt>
                <c:pt idx="32">
                  <c:v>0.27400000000000019</c:v>
                </c:pt>
                <c:pt idx="33">
                  <c:v>0.28200000000000019</c:v>
                </c:pt>
                <c:pt idx="34">
                  <c:v>0.2900000000000002</c:v>
                </c:pt>
                <c:pt idx="35">
                  <c:v>0.29800000000000021</c:v>
                </c:pt>
                <c:pt idx="36">
                  <c:v>0.30600000000000022</c:v>
                </c:pt>
                <c:pt idx="37">
                  <c:v>0.31400000000000022</c:v>
                </c:pt>
                <c:pt idx="38">
                  <c:v>0.32200000000000023</c:v>
                </c:pt>
                <c:pt idx="39">
                  <c:v>0.33000000000000024</c:v>
                </c:pt>
                <c:pt idx="40">
                  <c:v>0.33800000000000024</c:v>
                </c:pt>
                <c:pt idx="41">
                  <c:v>0.34600000000000025</c:v>
                </c:pt>
                <c:pt idx="42">
                  <c:v>0.35400000000000026</c:v>
                </c:pt>
                <c:pt idx="43">
                  <c:v>0.36200000000000027</c:v>
                </c:pt>
                <c:pt idx="44">
                  <c:v>0.37000000000000027</c:v>
                </c:pt>
                <c:pt idx="45">
                  <c:v>0.37800000000000028</c:v>
                </c:pt>
                <c:pt idx="46">
                  <c:v>0.38600000000000029</c:v>
                </c:pt>
                <c:pt idx="47">
                  <c:v>0.39400000000000029</c:v>
                </c:pt>
                <c:pt idx="48">
                  <c:v>0.4020000000000003</c:v>
                </c:pt>
                <c:pt idx="49">
                  <c:v>0.41000000000000031</c:v>
                </c:pt>
                <c:pt idx="50">
                  <c:v>0.41800000000000032</c:v>
                </c:pt>
                <c:pt idx="51">
                  <c:v>0.42600000000000032</c:v>
                </c:pt>
                <c:pt idx="52">
                  <c:v>0.43400000000000033</c:v>
                </c:pt>
                <c:pt idx="53">
                  <c:v>0.44200000000000034</c:v>
                </c:pt>
                <c:pt idx="54">
                  <c:v>0.45000000000000034</c:v>
                </c:pt>
                <c:pt idx="55">
                  <c:v>0.45800000000000035</c:v>
                </c:pt>
                <c:pt idx="56">
                  <c:v>0.46600000000000036</c:v>
                </c:pt>
                <c:pt idx="57">
                  <c:v>0.47400000000000037</c:v>
                </c:pt>
                <c:pt idx="58">
                  <c:v>0.48200000000000037</c:v>
                </c:pt>
                <c:pt idx="59">
                  <c:v>0.49000000000000038</c:v>
                </c:pt>
                <c:pt idx="60">
                  <c:v>0.49800000000000039</c:v>
                </c:pt>
                <c:pt idx="61">
                  <c:v>0.50600000000000034</c:v>
                </c:pt>
                <c:pt idx="62">
                  <c:v>0.51400000000000035</c:v>
                </c:pt>
                <c:pt idx="63">
                  <c:v>0.52200000000000035</c:v>
                </c:pt>
                <c:pt idx="64">
                  <c:v>0.53000000000000036</c:v>
                </c:pt>
                <c:pt idx="65">
                  <c:v>0.53800000000000037</c:v>
                </c:pt>
                <c:pt idx="66">
                  <c:v>0.54600000000000037</c:v>
                </c:pt>
                <c:pt idx="67">
                  <c:v>0.55400000000000038</c:v>
                </c:pt>
                <c:pt idx="68">
                  <c:v>0.56200000000000039</c:v>
                </c:pt>
                <c:pt idx="69">
                  <c:v>0.5700000000000004</c:v>
                </c:pt>
                <c:pt idx="70">
                  <c:v>0.5780000000000004</c:v>
                </c:pt>
                <c:pt idx="71">
                  <c:v>0.58600000000000041</c:v>
                </c:pt>
                <c:pt idx="72">
                  <c:v>0.59400000000000042</c:v>
                </c:pt>
                <c:pt idx="73">
                  <c:v>0.60200000000000042</c:v>
                </c:pt>
                <c:pt idx="74">
                  <c:v>0.61000000000000043</c:v>
                </c:pt>
                <c:pt idx="75">
                  <c:v>0.61800000000000044</c:v>
                </c:pt>
                <c:pt idx="76">
                  <c:v>0.62600000000000044</c:v>
                </c:pt>
                <c:pt idx="77">
                  <c:v>0.63400000000000045</c:v>
                </c:pt>
                <c:pt idx="78">
                  <c:v>0.64200000000000046</c:v>
                </c:pt>
                <c:pt idx="79">
                  <c:v>0.65000000000000047</c:v>
                </c:pt>
                <c:pt idx="80">
                  <c:v>0.65800000000000047</c:v>
                </c:pt>
                <c:pt idx="81">
                  <c:v>0.66600000000000048</c:v>
                </c:pt>
                <c:pt idx="82">
                  <c:v>0.67400000000000049</c:v>
                </c:pt>
                <c:pt idx="83">
                  <c:v>0.68200000000000049</c:v>
                </c:pt>
                <c:pt idx="84">
                  <c:v>0.6900000000000005</c:v>
                </c:pt>
                <c:pt idx="85">
                  <c:v>0.69800000000000051</c:v>
                </c:pt>
                <c:pt idx="86">
                  <c:v>0.70600000000000052</c:v>
                </c:pt>
                <c:pt idx="87">
                  <c:v>0.71400000000000052</c:v>
                </c:pt>
                <c:pt idx="88">
                  <c:v>0.72200000000000053</c:v>
                </c:pt>
                <c:pt idx="89">
                  <c:v>0.73000000000000054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21-41FB-9E63-A12936BFD564}"/>
            </c:ext>
          </c:extLst>
        </c:ser>
        <c:ser>
          <c:idx val="1"/>
          <c:order val="1"/>
          <c:tx>
            <c:strRef>
              <c:f>Output!$R$57</c:f>
              <c:strCache>
                <c:ptCount val="1"/>
                <c:pt idx="0">
                  <c:v>layer 1</c:v>
                </c:pt>
              </c:strCache>
            </c:strRef>
          </c:tx>
          <c:spPr>
            <a:ln w="158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Output!$S$57:$S$58</c:f>
              <c:numCache>
                <c:formatCode>General</c:formatCode>
                <c:ptCount val="2"/>
                <c:pt idx="0">
                  <c:v>1</c:v>
                </c:pt>
                <c:pt idx="1">
                  <c:v>90</c:v>
                </c:pt>
              </c:numCache>
            </c:numRef>
          </c:xVal>
          <c:yVal>
            <c:numRef>
              <c:f>Output!$T$57:$T$58</c:f>
              <c:numCache>
                <c:formatCode>General</c:formatCode>
                <c:ptCount val="2"/>
                <c:pt idx="0">
                  <c:v>0.05</c:v>
                </c:pt>
                <c:pt idx="1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21-41FB-9E63-A12936BFD564}"/>
            </c:ext>
          </c:extLst>
        </c:ser>
        <c:ser>
          <c:idx val="2"/>
          <c:order val="2"/>
          <c:tx>
            <c:strRef>
              <c:f>Output!$R$59</c:f>
              <c:strCache>
                <c:ptCount val="1"/>
                <c:pt idx="0">
                  <c:v>layer 2</c:v>
                </c:pt>
              </c:strCache>
            </c:strRef>
          </c:tx>
          <c:spPr>
            <a:ln w="158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Output!$S$59:$S$60</c:f>
              <c:numCache>
                <c:formatCode>General</c:formatCode>
                <c:ptCount val="2"/>
                <c:pt idx="0">
                  <c:v>1</c:v>
                </c:pt>
                <c:pt idx="1">
                  <c:v>90</c:v>
                </c:pt>
              </c:numCache>
            </c:numRef>
          </c:xVal>
          <c:yVal>
            <c:numRef>
              <c:f>Output!$T$59:$T$60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21-41FB-9E63-A12936BFD564}"/>
            </c:ext>
          </c:extLst>
        </c:ser>
        <c:ser>
          <c:idx val="3"/>
          <c:order val="3"/>
          <c:tx>
            <c:strRef>
              <c:f>Output!$R$61</c:f>
              <c:strCache>
                <c:ptCount val="1"/>
                <c:pt idx="0">
                  <c:v>layer 3</c:v>
                </c:pt>
              </c:strCache>
            </c:strRef>
          </c:tx>
          <c:spPr>
            <a:ln w="158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Output!$S$61:$S$62</c:f>
              <c:numCache>
                <c:formatCode>General</c:formatCode>
                <c:ptCount val="2"/>
                <c:pt idx="0">
                  <c:v>1</c:v>
                </c:pt>
                <c:pt idx="1">
                  <c:v>90</c:v>
                </c:pt>
              </c:numCache>
            </c:numRef>
          </c:xVal>
          <c:yVal>
            <c:numRef>
              <c:f>Output!$T$61:$T$62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21-41FB-9E63-A12936BFD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210272"/>
        <c:axId val="675212240"/>
      </c:scatterChart>
      <c:valAx>
        <c:axId val="67521027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2240"/>
        <c:crosses val="autoZero"/>
        <c:crossBetween val="midCat"/>
      </c:valAx>
      <c:valAx>
        <c:axId val="67521224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rooting depth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0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400731158605175E-2"/>
          <c:y val="0.85445115593427534"/>
          <c:w val="0.85579490063742047"/>
          <c:h val="0.122717793837414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Output!$E$2</c:f>
              <c:strCache>
                <c:ptCount val="1"/>
                <c:pt idx="0">
                  <c:v>wc 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Output!$E$7:$E$600</c:f>
              <c:numCache>
                <c:formatCode>General</c:formatCode>
                <c:ptCount val="594"/>
                <c:pt idx="0">
                  <c:v>16.275188170454776</c:v>
                </c:pt>
                <c:pt idx="1">
                  <c:v>15.155224459348608</c:v>
                </c:pt>
                <c:pt idx="2">
                  <c:v>19.948645102825854</c:v>
                </c:pt>
                <c:pt idx="3">
                  <c:v>19.979497175438066</c:v>
                </c:pt>
                <c:pt idx="4">
                  <c:v>21.153788174535482</c:v>
                </c:pt>
                <c:pt idx="5">
                  <c:v>17.40776775629147</c:v>
                </c:pt>
                <c:pt idx="6">
                  <c:v>15.708521303170256</c:v>
                </c:pt>
                <c:pt idx="7">
                  <c:v>18.749656589169664</c:v>
                </c:pt>
                <c:pt idx="8">
                  <c:v>15.948088504281237</c:v>
                </c:pt>
                <c:pt idx="9">
                  <c:v>13.447392023477937</c:v>
                </c:pt>
                <c:pt idx="10">
                  <c:v>12.726805906536487</c:v>
                </c:pt>
                <c:pt idx="11">
                  <c:v>12.065154926338742</c:v>
                </c:pt>
                <c:pt idx="12">
                  <c:v>11.347033087540707</c:v>
                </c:pt>
                <c:pt idx="13">
                  <c:v>10.646313102047671</c:v>
                </c:pt>
                <c:pt idx="14">
                  <c:v>10.05193465658766</c:v>
                </c:pt>
                <c:pt idx="15">
                  <c:v>9.5096304452539631</c:v>
                </c:pt>
                <c:pt idx="16">
                  <c:v>9.150756401967147</c:v>
                </c:pt>
                <c:pt idx="17">
                  <c:v>8.4238573561218892</c:v>
                </c:pt>
                <c:pt idx="18">
                  <c:v>7.8735716466790304</c:v>
                </c:pt>
                <c:pt idx="19">
                  <c:v>7.7384830177794663</c:v>
                </c:pt>
                <c:pt idx="20">
                  <c:v>7.7864128724105113</c:v>
                </c:pt>
                <c:pt idx="21">
                  <c:v>7.6346349918516303</c:v>
                </c:pt>
                <c:pt idx="22">
                  <c:v>7.4735845768504134</c:v>
                </c:pt>
                <c:pt idx="23">
                  <c:v>8.0960880616992892</c:v>
                </c:pt>
                <c:pt idx="24">
                  <c:v>7.7112634824111597</c:v>
                </c:pt>
                <c:pt idx="25">
                  <c:v>7.3950600861721654</c:v>
                </c:pt>
                <c:pt idx="26">
                  <c:v>7.1205844066876249</c:v>
                </c:pt>
                <c:pt idx="27">
                  <c:v>7.0687341213834811</c:v>
                </c:pt>
                <c:pt idx="28">
                  <c:v>7.1242884653268455</c:v>
                </c:pt>
                <c:pt idx="29">
                  <c:v>10.707464552357399</c:v>
                </c:pt>
                <c:pt idx="30">
                  <c:v>8.7644166270997239</c:v>
                </c:pt>
                <c:pt idx="31">
                  <c:v>9.0612367810565644</c:v>
                </c:pt>
                <c:pt idx="32">
                  <c:v>8.8907348256446461</c:v>
                </c:pt>
                <c:pt idx="33">
                  <c:v>8.0196298066339242</c:v>
                </c:pt>
                <c:pt idx="34">
                  <c:v>7.4437126877705655</c:v>
                </c:pt>
                <c:pt idx="35">
                  <c:v>7.3874114775612751</c:v>
                </c:pt>
                <c:pt idx="36">
                  <c:v>7.3217298522938457</c:v>
                </c:pt>
                <c:pt idx="37">
                  <c:v>19.945417268374321</c:v>
                </c:pt>
                <c:pt idx="38">
                  <c:v>24.415450194082624</c:v>
                </c:pt>
                <c:pt idx="39">
                  <c:v>23.331664179089508</c:v>
                </c:pt>
                <c:pt idx="40">
                  <c:v>23.921198544913263</c:v>
                </c:pt>
                <c:pt idx="41">
                  <c:v>23.153362048946285</c:v>
                </c:pt>
                <c:pt idx="42">
                  <c:v>21.972736611950126</c:v>
                </c:pt>
                <c:pt idx="43">
                  <c:v>21.494441750343487</c:v>
                </c:pt>
                <c:pt idx="44">
                  <c:v>21.171891763778564</c:v>
                </c:pt>
                <c:pt idx="45">
                  <c:v>25.027842513967475</c:v>
                </c:pt>
                <c:pt idx="46">
                  <c:v>23.23905518140333</c:v>
                </c:pt>
                <c:pt idx="47">
                  <c:v>22.165937561584816</c:v>
                </c:pt>
                <c:pt idx="48">
                  <c:v>21.271569206061063</c:v>
                </c:pt>
                <c:pt idx="49">
                  <c:v>20.525761863096008</c:v>
                </c:pt>
                <c:pt idx="50">
                  <c:v>19.884570693871577</c:v>
                </c:pt>
                <c:pt idx="51">
                  <c:v>19.371675546689914</c:v>
                </c:pt>
                <c:pt idx="52">
                  <c:v>19.040326725945803</c:v>
                </c:pt>
                <c:pt idx="53">
                  <c:v>20.798015468220459</c:v>
                </c:pt>
                <c:pt idx="54">
                  <c:v>23.788274326718447</c:v>
                </c:pt>
                <c:pt idx="55">
                  <c:v>21.457657085966481</c:v>
                </c:pt>
                <c:pt idx="56">
                  <c:v>20.933677111054848</c:v>
                </c:pt>
                <c:pt idx="57">
                  <c:v>21.128380901089411</c:v>
                </c:pt>
                <c:pt idx="58">
                  <c:v>20.79647001300717</c:v>
                </c:pt>
                <c:pt idx="59">
                  <c:v>23.036200840174118</c:v>
                </c:pt>
                <c:pt idx="60">
                  <c:v>21.822953134480507</c:v>
                </c:pt>
                <c:pt idx="61">
                  <c:v>21.127078404570636</c:v>
                </c:pt>
                <c:pt idx="62">
                  <c:v>20.823039916963396</c:v>
                </c:pt>
                <c:pt idx="63">
                  <c:v>24.899828600155047</c:v>
                </c:pt>
                <c:pt idx="64">
                  <c:v>23.810482821391822</c:v>
                </c:pt>
                <c:pt idx="65">
                  <c:v>23.153719838815505</c:v>
                </c:pt>
                <c:pt idx="66">
                  <c:v>25.48511338132078</c:v>
                </c:pt>
                <c:pt idx="67">
                  <c:v>23.773957296038091</c:v>
                </c:pt>
                <c:pt idx="68">
                  <c:v>22.588669722331531</c:v>
                </c:pt>
                <c:pt idx="69">
                  <c:v>24.963896172432623</c:v>
                </c:pt>
                <c:pt idx="70">
                  <c:v>22.891530812238805</c:v>
                </c:pt>
                <c:pt idx="71">
                  <c:v>23.264971672449846</c:v>
                </c:pt>
                <c:pt idx="72">
                  <c:v>22.297225378582251</c:v>
                </c:pt>
                <c:pt idx="73">
                  <c:v>24.477285805975182</c:v>
                </c:pt>
                <c:pt idx="74">
                  <c:v>22.869766697749533</c:v>
                </c:pt>
                <c:pt idx="75">
                  <c:v>24.491848985279486</c:v>
                </c:pt>
                <c:pt idx="76">
                  <c:v>22.796708008163915</c:v>
                </c:pt>
                <c:pt idx="77">
                  <c:v>24.513096107480827</c:v>
                </c:pt>
                <c:pt idx="78">
                  <c:v>22.780312837844782</c:v>
                </c:pt>
                <c:pt idx="79">
                  <c:v>22.534187224300307</c:v>
                </c:pt>
                <c:pt idx="80">
                  <c:v>22.000056214245689</c:v>
                </c:pt>
                <c:pt idx="81">
                  <c:v>22.544917186864449</c:v>
                </c:pt>
                <c:pt idx="82">
                  <c:v>24.052331995149526</c:v>
                </c:pt>
                <c:pt idx="83">
                  <c:v>23.62507795314032</c:v>
                </c:pt>
                <c:pt idx="84">
                  <c:v>23.957061627407171</c:v>
                </c:pt>
                <c:pt idx="85">
                  <c:v>26.04988238026197</c:v>
                </c:pt>
                <c:pt idx="86">
                  <c:v>24.379389177274611</c:v>
                </c:pt>
                <c:pt idx="87">
                  <c:v>23.046137083834875</c:v>
                </c:pt>
                <c:pt idx="88">
                  <c:v>22.684606341114627</c:v>
                </c:pt>
                <c:pt idx="89">
                  <c:v>22.474921960157069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8D-4102-91D3-67F39AA881C0}"/>
            </c:ext>
          </c:extLst>
        </c:ser>
        <c:ser>
          <c:idx val="1"/>
          <c:order val="1"/>
          <c:tx>
            <c:strRef>
              <c:f>Output!$F$2</c:f>
              <c:strCache>
                <c:ptCount val="1"/>
                <c:pt idx="0">
                  <c:v>wc 2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Output!$F$7:$F$600</c:f>
              <c:numCache>
                <c:formatCode>General</c:formatCode>
                <c:ptCount val="594"/>
                <c:pt idx="0">
                  <c:v>99.052588321746271</c:v>
                </c:pt>
                <c:pt idx="1">
                  <c:v>96.944270899370665</c:v>
                </c:pt>
                <c:pt idx="2">
                  <c:v>96.349580508559555</c:v>
                </c:pt>
                <c:pt idx="3">
                  <c:v>96.744814608362617</c:v>
                </c:pt>
                <c:pt idx="4">
                  <c:v>98.017748413551246</c:v>
                </c:pt>
                <c:pt idx="5">
                  <c:v>97.908241153555707</c:v>
                </c:pt>
                <c:pt idx="6">
                  <c:v>96.669625829582813</c:v>
                </c:pt>
                <c:pt idx="7">
                  <c:v>95.983849686198695</c:v>
                </c:pt>
                <c:pt idx="8">
                  <c:v>95.346888410309063</c:v>
                </c:pt>
                <c:pt idx="9">
                  <c:v>93.350910038561494</c:v>
                </c:pt>
                <c:pt idx="10">
                  <c:v>90.954427421038318</c:v>
                </c:pt>
                <c:pt idx="11">
                  <c:v>88.783109411324659</c:v>
                </c:pt>
                <c:pt idx="12">
                  <c:v>86.741937293668244</c:v>
                </c:pt>
                <c:pt idx="13">
                  <c:v>84.76165028083733</c:v>
                </c:pt>
                <c:pt idx="14">
                  <c:v>82.900723742994899</c:v>
                </c:pt>
                <c:pt idx="15">
                  <c:v>81.195898922704856</c:v>
                </c:pt>
                <c:pt idx="16">
                  <c:v>79.686916166769961</c:v>
                </c:pt>
                <c:pt idx="17">
                  <c:v>78.080241928836685</c:v>
                </c:pt>
                <c:pt idx="18">
                  <c:v>76.375624866944676</c:v>
                </c:pt>
                <c:pt idx="19">
                  <c:v>75.016624324260079</c:v>
                </c:pt>
                <c:pt idx="20">
                  <c:v>74.078923522500787</c:v>
                </c:pt>
                <c:pt idx="21">
                  <c:v>73.316345079250937</c:v>
                </c:pt>
                <c:pt idx="22">
                  <c:v>72.610359641308463</c:v>
                </c:pt>
                <c:pt idx="23">
                  <c:v>72.30368221207101</c:v>
                </c:pt>
                <c:pt idx="24">
                  <c:v>72.016902984601572</c:v>
                </c:pt>
                <c:pt idx="25">
                  <c:v>71.526639537653068</c:v>
                </c:pt>
                <c:pt idx="26">
                  <c:v>70.916509439114819</c:v>
                </c:pt>
                <c:pt idx="27">
                  <c:v>70.34242526522165</c:v>
                </c:pt>
                <c:pt idx="28">
                  <c:v>69.922437398079367</c:v>
                </c:pt>
                <c:pt idx="29">
                  <c:v>70.125316483995405</c:v>
                </c:pt>
                <c:pt idx="30">
                  <c:v>70.29150758082163</c:v>
                </c:pt>
                <c:pt idx="31">
                  <c:v>70.493100066711548</c:v>
                </c:pt>
                <c:pt idx="32">
                  <c:v>70.58241806639154</c:v>
                </c:pt>
                <c:pt idx="33">
                  <c:v>70.500991215083303</c:v>
                </c:pt>
                <c:pt idx="34">
                  <c:v>70.138049250626963</c:v>
                </c:pt>
                <c:pt idx="35">
                  <c:v>69.755083602555942</c:v>
                </c:pt>
                <c:pt idx="36">
                  <c:v>69.325734321531527</c:v>
                </c:pt>
                <c:pt idx="37">
                  <c:v>78.295240974004827</c:v>
                </c:pt>
                <c:pt idx="38">
                  <c:v>107.22293574747847</c:v>
                </c:pt>
                <c:pt idx="39">
                  <c:v>113.73510481436317</c:v>
                </c:pt>
                <c:pt idx="40">
                  <c:v>118.19199426628562</c:v>
                </c:pt>
                <c:pt idx="41">
                  <c:v>115.75770648906249</c:v>
                </c:pt>
                <c:pt idx="42">
                  <c:v>111.69845111007525</c:v>
                </c:pt>
                <c:pt idx="43">
                  <c:v>109.1174345565605</c:v>
                </c:pt>
                <c:pt idx="44">
                  <c:v>106.64823795289</c:v>
                </c:pt>
                <c:pt idx="45">
                  <c:v>134.85523203255164</c:v>
                </c:pt>
                <c:pt idx="46">
                  <c:v>117.56708294905083</c:v>
                </c:pt>
                <c:pt idx="47">
                  <c:v>112.47085640720975</c:v>
                </c:pt>
                <c:pt idx="48">
                  <c:v>108.38145340735036</c:v>
                </c:pt>
                <c:pt idx="49">
                  <c:v>105.20571796634096</c:v>
                </c:pt>
                <c:pt idx="50">
                  <c:v>102.6920776745602</c:v>
                </c:pt>
                <c:pt idx="51">
                  <c:v>100.05805189909401</c:v>
                </c:pt>
                <c:pt idx="52">
                  <c:v>98.480786364830095</c:v>
                </c:pt>
                <c:pt idx="53">
                  <c:v>97.816405459578391</c:v>
                </c:pt>
                <c:pt idx="54">
                  <c:v>111.05976222686694</c:v>
                </c:pt>
                <c:pt idx="55">
                  <c:v>108.77221362431172</c:v>
                </c:pt>
                <c:pt idx="56">
                  <c:v>106.08870847837046</c:v>
                </c:pt>
                <c:pt idx="57">
                  <c:v>104.35358664945176</c:v>
                </c:pt>
                <c:pt idx="58">
                  <c:v>103.55141259592703</c:v>
                </c:pt>
                <c:pt idx="59">
                  <c:v>108.75513308436079</c:v>
                </c:pt>
                <c:pt idx="60">
                  <c:v>108.41593542125486</c:v>
                </c:pt>
                <c:pt idx="61">
                  <c:v>106.67559397248024</c:v>
                </c:pt>
                <c:pt idx="62">
                  <c:v>104.7758117841408</c:v>
                </c:pt>
                <c:pt idx="63">
                  <c:v>128.2570438943344</c:v>
                </c:pt>
                <c:pt idx="64">
                  <c:v>118.95511758310246</c:v>
                </c:pt>
                <c:pt idx="65">
                  <c:v>115.70616423062557</c:v>
                </c:pt>
                <c:pt idx="66">
                  <c:v>126.43515013047949</c:v>
                </c:pt>
                <c:pt idx="67">
                  <c:v>119.06110799528436</c:v>
                </c:pt>
                <c:pt idx="68">
                  <c:v>114.27758719900909</c:v>
                </c:pt>
                <c:pt idx="69">
                  <c:v>123.58279115060326</c:v>
                </c:pt>
                <c:pt idx="70">
                  <c:v>115.77237136789766</c:v>
                </c:pt>
                <c:pt idx="71">
                  <c:v>115.74706698173468</c:v>
                </c:pt>
                <c:pt idx="72">
                  <c:v>112.74001807147872</c:v>
                </c:pt>
                <c:pt idx="73">
                  <c:v>120.83213866716599</c:v>
                </c:pt>
                <c:pt idx="74">
                  <c:v>115.22712037648138</c:v>
                </c:pt>
                <c:pt idx="75">
                  <c:v>121.13075302982865</c:v>
                </c:pt>
                <c:pt idx="76">
                  <c:v>115.05964429070193</c:v>
                </c:pt>
                <c:pt idx="77">
                  <c:v>121.22107134994705</c:v>
                </c:pt>
                <c:pt idx="78">
                  <c:v>115.14894503223843</c:v>
                </c:pt>
                <c:pt idx="79">
                  <c:v>113.01596969059493</c:v>
                </c:pt>
                <c:pt idx="80">
                  <c:v>111.13544317782062</c:v>
                </c:pt>
                <c:pt idx="81">
                  <c:v>111.33072980290429</c:v>
                </c:pt>
                <c:pt idx="82">
                  <c:v>118.29968231650567</c:v>
                </c:pt>
                <c:pt idx="83">
                  <c:v>117.4943281515345</c:v>
                </c:pt>
                <c:pt idx="84">
                  <c:v>118.80553299364</c:v>
                </c:pt>
                <c:pt idx="85">
                  <c:v>130.19048152491825</c:v>
                </c:pt>
                <c:pt idx="86">
                  <c:v>121.89277909603622</c:v>
                </c:pt>
                <c:pt idx="87">
                  <c:v>116.5743518172397</c:v>
                </c:pt>
                <c:pt idx="88">
                  <c:v>114.29693230281161</c:v>
                </c:pt>
                <c:pt idx="89">
                  <c:v>112.79968522449927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8D-4102-91D3-67F39AA881C0}"/>
            </c:ext>
          </c:extLst>
        </c:ser>
        <c:ser>
          <c:idx val="2"/>
          <c:order val="2"/>
          <c:tx>
            <c:strRef>
              <c:f>Output!$G$2</c:f>
              <c:strCache>
                <c:ptCount val="1"/>
                <c:pt idx="0">
                  <c:v>wc 3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Output!$G$7:$G$600</c:f>
              <c:numCache>
                <c:formatCode>General</c:formatCode>
                <c:ptCount val="594"/>
                <c:pt idx="0">
                  <c:v>279.97061967708845</c:v>
                </c:pt>
                <c:pt idx="1">
                  <c:v>279.8305030011922</c:v>
                </c:pt>
                <c:pt idx="2">
                  <c:v>279.60618176718498</c:v>
                </c:pt>
                <c:pt idx="3">
                  <c:v>279.3926186540848</c:v>
                </c:pt>
                <c:pt idx="4">
                  <c:v>279.22277108682408</c:v>
                </c:pt>
                <c:pt idx="5">
                  <c:v>279.1098595038095</c:v>
                </c:pt>
                <c:pt idx="6">
                  <c:v>278.95600507435012</c:v>
                </c:pt>
                <c:pt idx="7">
                  <c:v>278.74624844645837</c:v>
                </c:pt>
                <c:pt idx="8">
                  <c:v>278.52100336287657</c:v>
                </c:pt>
                <c:pt idx="9">
                  <c:v>278.25124794497003</c:v>
                </c:pt>
                <c:pt idx="10">
                  <c:v>277.91767108565739</c:v>
                </c:pt>
                <c:pt idx="11">
                  <c:v>277.54343339161636</c:v>
                </c:pt>
                <c:pt idx="12">
                  <c:v>277.14659931646582</c:v>
                </c:pt>
                <c:pt idx="13">
                  <c:v>276.73707389914193</c:v>
                </c:pt>
                <c:pt idx="14">
                  <c:v>276.26083267043191</c:v>
                </c:pt>
                <c:pt idx="15">
                  <c:v>275.69091125478337</c:v>
                </c:pt>
                <c:pt idx="16">
                  <c:v>275.04502197062794</c:v>
                </c:pt>
                <c:pt idx="17">
                  <c:v>274.33391235555672</c:v>
                </c:pt>
                <c:pt idx="18">
                  <c:v>273.55280642038491</c:v>
                </c:pt>
                <c:pt idx="19">
                  <c:v>272.7120277399315</c:v>
                </c:pt>
                <c:pt idx="20">
                  <c:v>271.84019925289016</c:v>
                </c:pt>
                <c:pt idx="21">
                  <c:v>270.9592239530769</c:v>
                </c:pt>
                <c:pt idx="22">
                  <c:v>270.07589098939883</c:v>
                </c:pt>
                <c:pt idx="23">
                  <c:v>269.20263765514483</c:v>
                </c:pt>
                <c:pt idx="24">
                  <c:v>268.35673984419503</c:v>
                </c:pt>
                <c:pt idx="25">
                  <c:v>267.52739288287268</c:v>
                </c:pt>
                <c:pt idx="26">
                  <c:v>266.70426518130438</c:v>
                </c:pt>
                <c:pt idx="27">
                  <c:v>265.88411389415995</c:v>
                </c:pt>
                <c:pt idx="28">
                  <c:v>265.07300677125738</c:v>
                </c:pt>
                <c:pt idx="29">
                  <c:v>264.29057533170516</c:v>
                </c:pt>
                <c:pt idx="30">
                  <c:v>263.55503103491395</c:v>
                </c:pt>
                <c:pt idx="31">
                  <c:v>262.85813115228029</c:v>
                </c:pt>
                <c:pt idx="32">
                  <c:v>262.19558479055036</c:v>
                </c:pt>
                <c:pt idx="33">
                  <c:v>261.5585027278845</c:v>
                </c:pt>
                <c:pt idx="34">
                  <c:v>260.9344015056796</c:v>
                </c:pt>
                <c:pt idx="35">
                  <c:v>260.31524786263282</c:v>
                </c:pt>
                <c:pt idx="36">
                  <c:v>259.70019416990385</c:v>
                </c:pt>
                <c:pt idx="37">
                  <c:v>259.22145587992577</c:v>
                </c:pt>
                <c:pt idx="38">
                  <c:v>259.58034277790563</c:v>
                </c:pt>
                <c:pt idx="39">
                  <c:v>262.08177208268546</c:v>
                </c:pt>
                <c:pt idx="40">
                  <c:v>267.43187144600756</c:v>
                </c:pt>
                <c:pt idx="41">
                  <c:v>273.47773765121934</c:v>
                </c:pt>
                <c:pt idx="42">
                  <c:v>277.15656034492605</c:v>
                </c:pt>
                <c:pt idx="43">
                  <c:v>279.19554238470658</c:v>
                </c:pt>
                <c:pt idx="44">
                  <c:v>280.32452719236392</c:v>
                </c:pt>
                <c:pt idx="45">
                  <c:v>279.79976782160338</c:v>
                </c:pt>
                <c:pt idx="46">
                  <c:v>297.41968875377393</c:v>
                </c:pt>
                <c:pt idx="47">
                  <c:v>301.17961210142164</c:v>
                </c:pt>
                <c:pt idx="48">
                  <c:v>301.89681018357805</c:v>
                </c:pt>
                <c:pt idx="49">
                  <c:v>301.32224399675806</c:v>
                </c:pt>
                <c:pt idx="50">
                  <c:v>300.21212654578363</c:v>
                </c:pt>
                <c:pt idx="51">
                  <c:v>298.71089843461925</c:v>
                </c:pt>
                <c:pt idx="52">
                  <c:v>297.28001179581048</c:v>
                </c:pt>
                <c:pt idx="53">
                  <c:v>295.85782920888067</c:v>
                </c:pt>
                <c:pt idx="54">
                  <c:v>295.06678535210511</c:v>
                </c:pt>
                <c:pt idx="55">
                  <c:v>296.06064043582376</c:v>
                </c:pt>
                <c:pt idx="56">
                  <c:v>296.00149729756572</c:v>
                </c:pt>
                <c:pt idx="57">
                  <c:v>295.30115634895304</c:v>
                </c:pt>
                <c:pt idx="58">
                  <c:v>294.69714663111495</c:v>
                </c:pt>
                <c:pt idx="59">
                  <c:v>294.10864863551711</c:v>
                </c:pt>
                <c:pt idx="60">
                  <c:v>294.55622774165153</c:v>
                </c:pt>
                <c:pt idx="61">
                  <c:v>294.69675285808023</c:v>
                </c:pt>
                <c:pt idx="62">
                  <c:v>294.16978206589999</c:v>
                </c:pt>
                <c:pt idx="63">
                  <c:v>307.13321443031174</c:v>
                </c:pt>
                <c:pt idx="64">
                  <c:v>319.39893032026464</c:v>
                </c:pt>
                <c:pt idx="65">
                  <c:v>321.57823575652196</c:v>
                </c:pt>
                <c:pt idx="66">
                  <c:v>333.41487390102787</c:v>
                </c:pt>
                <c:pt idx="67">
                  <c:v>336.71688090853371</c:v>
                </c:pt>
                <c:pt idx="68">
                  <c:v>331.48600054327386</c:v>
                </c:pt>
                <c:pt idx="69">
                  <c:v>333.71446451064838</c:v>
                </c:pt>
                <c:pt idx="70">
                  <c:v>332.56197512252021</c:v>
                </c:pt>
                <c:pt idx="71">
                  <c:v>328.92929868186945</c:v>
                </c:pt>
                <c:pt idx="72">
                  <c:v>325.49991359508334</c:v>
                </c:pt>
                <c:pt idx="73">
                  <c:v>326.33803595988456</c:v>
                </c:pt>
                <c:pt idx="74">
                  <c:v>326.65515973817008</c:v>
                </c:pt>
                <c:pt idx="75">
                  <c:v>328.02196191878619</c:v>
                </c:pt>
                <c:pt idx="76">
                  <c:v>327.52043669676118</c:v>
                </c:pt>
                <c:pt idx="77">
                  <c:v>328.36459511140316</c:v>
                </c:pt>
                <c:pt idx="78">
                  <c:v>328.09924203480813</c:v>
                </c:pt>
                <c:pt idx="79">
                  <c:v>324.35537239747731</c:v>
                </c:pt>
                <c:pt idx="80">
                  <c:v>321.19365917112322</c:v>
                </c:pt>
                <c:pt idx="81">
                  <c:v>317.29299670121321</c:v>
                </c:pt>
                <c:pt idx="82">
                  <c:v>317.27467453519472</c:v>
                </c:pt>
                <c:pt idx="83">
                  <c:v>320.29301123936563</c:v>
                </c:pt>
                <c:pt idx="84">
                  <c:v>322.65239519336393</c:v>
                </c:pt>
                <c:pt idx="85">
                  <c:v>348.77602429170446</c:v>
                </c:pt>
                <c:pt idx="86">
                  <c:v>346.15549725337416</c:v>
                </c:pt>
                <c:pt idx="87">
                  <c:v>337.95190166859015</c:v>
                </c:pt>
                <c:pt idx="88">
                  <c:v>331.14398898459649</c:v>
                </c:pt>
                <c:pt idx="89">
                  <c:v>325.37352500510929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8D-4102-91D3-67F39AA88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210272"/>
        <c:axId val="675212240"/>
      </c:scatterChart>
      <c:valAx>
        <c:axId val="675210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2240"/>
        <c:crosses val="autoZero"/>
        <c:crossBetween val="midCat"/>
      </c:valAx>
      <c:valAx>
        <c:axId val="675212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content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0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54530683664542"/>
          <c:y val="0.11334363730036064"/>
          <c:w val="0.77089613798275214"/>
          <c:h val="0.77331272539927876"/>
        </c:manualLayout>
      </c:layout>
      <c:scatterChart>
        <c:scatterStyle val="lineMarker"/>
        <c:varyColors val="0"/>
        <c:ser>
          <c:idx val="0"/>
          <c:order val="0"/>
          <c:tx>
            <c:strRef>
              <c:f>Output!$K$2</c:f>
              <c:strCache>
                <c:ptCount val="1"/>
                <c:pt idx="0">
                  <c:v>rain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Output!$K$7:$K$600</c:f>
              <c:numCache>
                <c:formatCode>General</c:formatCode>
                <c:ptCount val="594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5.9</c:v>
                </c:pt>
                <c:pt idx="4">
                  <c:v>8.1</c:v>
                </c:pt>
                <c:pt idx="5">
                  <c:v>0</c:v>
                </c:pt>
                <c:pt idx="6">
                  <c:v>0</c:v>
                </c:pt>
                <c:pt idx="7">
                  <c:v>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0.8</c:v>
                </c:pt>
                <c:pt idx="24">
                  <c:v>0</c:v>
                </c:pt>
                <c:pt idx="25">
                  <c:v>0.2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5.9</c:v>
                </c:pt>
                <c:pt idx="30">
                  <c:v>0</c:v>
                </c:pt>
                <c:pt idx="31">
                  <c:v>0.9</c:v>
                </c:pt>
                <c:pt idx="32">
                  <c:v>1.2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0.3</c:v>
                </c:pt>
                <c:pt idx="37">
                  <c:v>30.2</c:v>
                </c:pt>
                <c:pt idx="38">
                  <c:v>46.5</c:v>
                </c:pt>
                <c:pt idx="39">
                  <c:v>14.5</c:v>
                </c:pt>
                <c:pt idx="40">
                  <c:v>16.7</c:v>
                </c:pt>
                <c:pt idx="41">
                  <c:v>6</c:v>
                </c:pt>
                <c:pt idx="42">
                  <c:v>0</c:v>
                </c:pt>
                <c:pt idx="43">
                  <c:v>0</c:v>
                </c:pt>
                <c:pt idx="44">
                  <c:v>1.4</c:v>
                </c:pt>
                <c:pt idx="45">
                  <c:v>98.4</c:v>
                </c:pt>
                <c:pt idx="46">
                  <c:v>1.2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3.5</c:v>
                </c:pt>
                <c:pt idx="54">
                  <c:v>25.3</c:v>
                </c:pt>
                <c:pt idx="55">
                  <c:v>0</c:v>
                </c:pt>
                <c:pt idx="56">
                  <c:v>0</c:v>
                </c:pt>
                <c:pt idx="57">
                  <c:v>1.5</c:v>
                </c:pt>
                <c:pt idx="58">
                  <c:v>0.7</c:v>
                </c:pt>
                <c:pt idx="59">
                  <c:v>13.2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54.2</c:v>
                </c:pt>
                <c:pt idx="64">
                  <c:v>8.4</c:v>
                </c:pt>
                <c:pt idx="65">
                  <c:v>4.9000000000000004</c:v>
                </c:pt>
                <c:pt idx="66">
                  <c:v>41.3</c:v>
                </c:pt>
                <c:pt idx="67">
                  <c:v>7.2</c:v>
                </c:pt>
                <c:pt idx="68">
                  <c:v>0</c:v>
                </c:pt>
                <c:pt idx="69">
                  <c:v>30.3</c:v>
                </c:pt>
                <c:pt idx="70">
                  <c:v>0</c:v>
                </c:pt>
                <c:pt idx="71">
                  <c:v>6.8</c:v>
                </c:pt>
                <c:pt idx="72">
                  <c:v>0</c:v>
                </c:pt>
                <c:pt idx="73">
                  <c:v>22.6</c:v>
                </c:pt>
                <c:pt idx="74">
                  <c:v>1</c:v>
                </c:pt>
                <c:pt idx="75">
                  <c:v>21</c:v>
                </c:pt>
                <c:pt idx="76">
                  <c:v>0</c:v>
                </c:pt>
                <c:pt idx="77">
                  <c:v>21</c:v>
                </c:pt>
                <c:pt idx="78">
                  <c:v>0</c:v>
                </c:pt>
                <c:pt idx="79">
                  <c:v>1.2</c:v>
                </c:pt>
                <c:pt idx="80">
                  <c:v>0</c:v>
                </c:pt>
                <c:pt idx="81">
                  <c:v>3</c:v>
                </c:pt>
                <c:pt idx="82">
                  <c:v>16.5</c:v>
                </c:pt>
                <c:pt idx="83">
                  <c:v>8.1999999999999993</c:v>
                </c:pt>
                <c:pt idx="84">
                  <c:v>12</c:v>
                </c:pt>
                <c:pt idx="85">
                  <c:v>63</c:v>
                </c:pt>
                <c:pt idx="86">
                  <c:v>11.1</c:v>
                </c:pt>
                <c:pt idx="87">
                  <c:v>0</c:v>
                </c:pt>
                <c:pt idx="88">
                  <c:v>0.6</c:v>
                </c:pt>
                <c:pt idx="8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D-4C43-97AA-C0BC12EB0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210272"/>
        <c:axId val="675212240"/>
      </c:scatterChart>
      <c:valAx>
        <c:axId val="675210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5212240"/>
        <c:crosses val="autoZero"/>
        <c:crossBetween val="midCat"/>
      </c:valAx>
      <c:valAx>
        <c:axId val="675212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rain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0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Output!$B$2</c:f>
              <c:strCache>
                <c:ptCount val="1"/>
                <c:pt idx="0">
                  <c:v>vwc 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Output!$B$7:$B$600</c:f>
              <c:numCache>
                <c:formatCode>General</c:formatCode>
                <c:ptCount val="594"/>
                <c:pt idx="0">
                  <c:v>0.32550376340909548</c:v>
                </c:pt>
                <c:pt idx="1">
                  <c:v>0.30310448918697214</c:v>
                </c:pt>
                <c:pt idx="2">
                  <c:v>0.39897290205651703</c:v>
                </c:pt>
                <c:pt idx="3">
                  <c:v>0.39958994350876131</c:v>
                </c:pt>
                <c:pt idx="4">
                  <c:v>0.42307576349070963</c:v>
                </c:pt>
                <c:pt idx="5">
                  <c:v>0.3481553551258294</c:v>
                </c:pt>
                <c:pt idx="6">
                  <c:v>0.31417042606340512</c:v>
                </c:pt>
                <c:pt idx="7">
                  <c:v>0.37499313178339327</c:v>
                </c:pt>
                <c:pt idx="8">
                  <c:v>0.31896177008562471</c:v>
                </c:pt>
                <c:pt idx="9">
                  <c:v>0.26894784046955872</c:v>
                </c:pt>
                <c:pt idx="10">
                  <c:v>0.25453611813072974</c:v>
                </c:pt>
                <c:pt idx="11">
                  <c:v>0.24130309852677481</c:v>
                </c:pt>
                <c:pt idx="12">
                  <c:v>0.22694066175081412</c:v>
                </c:pt>
                <c:pt idx="13">
                  <c:v>0.21292626204095341</c:v>
                </c:pt>
                <c:pt idx="14">
                  <c:v>0.20103869313175318</c:v>
                </c:pt>
                <c:pt idx="15">
                  <c:v>0.19019260890507927</c:v>
                </c:pt>
                <c:pt idx="16">
                  <c:v>0.18301512803934292</c:v>
                </c:pt>
                <c:pt idx="17">
                  <c:v>0.16847714712243778</c:v>
                </c:pt>
                <c:pt idx="18">
                  <c:v>0.1574714329335806</c:v>
                </c:pt>
                <c:pt idx="19">
                  <c:v>0.15476966035558931</c:v>
                </c:pt>
                <c:pt idx="20">
                  <c:v>0.15572825744821023</c:v>
                </c:pt>
                <c:pt idx="21">
                  <c:v>0.1526926998370326</c:v>
                </c:pt>
                <c:pt idx="22">
                  <c:v>0.14947169153700826</c:v>
                </c:pt>
                <c:pt idx="23">
                  <c:v>0.16192176123398577</c:v>
                </c:pt>
                <c:pt idx="24">
                  <c:v>0.1542252696482232</c:v>
                </c:pt>
                <c:pt idx="25">
                  <c:v>0.14790120172344329</c:v>
                </c:pt>
                <c:pt idx="26">
                  <c:v>0.14241168813375249</c:v>
                </c:pt>
                <c:pt idx="27">
                  <c:v>0.14137468242766962</c:v>
                </c:pt>
                <c:pt idx="28">
                  <c:v>0.14248576930653689</c:v>
                </c:pt>
                <c:pt idx="29">
                  <c:v>0.21414929104714797</c:v>
                </c:pt>
                <c:pt idx="30">
                  <c:v>0.17528833254199447</c:v>
                </c:pt>
                <c:pt idx="31">
                  <c:v>0.18122473562113128</c:v>
                </c:pt>
                <c:pt idx="32">
                  <c:v>0.17781469651289289</c:v>
                </c:pt>
                <c:pt idx="33">
                  <c:v>0.16039259613267848</c:v>
                </c:pt>
                <c:pt idx="34">
                  <c:v>0.1488742537554113</c:v>
                </c:pt>
                <c:pt idx="35">
                  <c:v>0.14774822955122549</c:v>
                </c:pt>
                <c:pt idx="36">
                  <c:v>0.14643459704587691</c:v>
                </c:pt>
                <c:pt idx="37">
                  <c:v>0.39890834536748637</c:v>
                </c:pt>
                <c:pt idx="38">
                  <c:v>0.48830900388165244</c:v>
                </c:pt>
                <c:pt idx="39">
                  <c:v>0.46663328358179018</c:v>
                </c:pt>
                <c:pt idx="40">
                  <c:v>0.47842397089826527</c:v>
                </c:pt>
                <c:pt idx="41">
                  <c:v>0.46306724097892565</c:v>
                </c:pt>
                <c:pt idx="42">
                  <c:v>0.4394547322390025</c:v>
                </c:pt>
                <c:pt idx="43">
                  <c:v>0.42988883500686975</c:v>
                </c:pt>
                <c:pt idx="44">
                  <c:v>0.42343783527557122</c:v>
                </c:pt>
                <c:pt idx="45">
                  <c:v>0.50055685027934949</c:v>
                </c:pt>
                <c:pt idx="46">
                  <c:v>0.46478110362806663</c:v>
                </c:pt>
                <c:pt idx="47">
                  <c:v>0.44331875123169634</c:v>
                </c:pt>
                <c:pt idx="48">
                  <c:v>0.42543138412122122</c:v>
                </c:pt>
                <c:pt idx="49">
                  <c:v>0.41051523726192013</c:v>
                </c:pt>
                <c:pt idx="50">
                  <c:v>0.39769141387743151</c:v>
                </c:pt>
                <c:pt idx="51">
                  <c:v>0.38743351093379824</c:v>
                </c:pt>
                <c:pt idx="52">
                  <c:v>0.38080653451891605</c:v>
                </c:pt>
                <c:pt idx="53">
                  <c:v>0.41596030936440914</c:v>
                </c:pt>
                <c:pt idx="54">
                  <c:v>0.47576548653436895</c:v>
                </c:pt>
                <c:pt idx="55">
                  <c:v>0.42915314171932961</c:v>
                </c:pt>
                <c:pt idx="56">
                  <c:v>0.41867354222109693</c:v>
                </c:pt>
                <c:pt idx="57">
                  <c:v>0.42256761802178816</c:v>
                </c:pt>
                <c:pt idx="58">
                  <c:v>0.41592940026014336</c:v>
                </c:pt>
                <c:pt idx="59">
                  <c:v>0.46072401680348235</c:v>
                </c:pt>
                <c:pt idx="60">
                  <c:v>0.4364590626896101</c:v>
                </c:pt>
                <c:pt idx="61">
                  <c:v>0.42254156809141269</c:v>
                </c:pt>
                <c:pt idx="62">
                  <c:v>0.41646079833926791</c:v>
                </c:pt>
                <c:pt idx="63">
                  <c:v>0.49799657200310088</c:v>
                </c:pt>
                <c:pt idx="64">
                  <c:v>0.47620965642783647</c:v>
                </c:pt>
                <c:pt idx="65">
                  <c:v>0.46307439677631013</c:v>
                </c:pt>
                <c:pt idx="66">
                  <c:v>0.50970226762641557</c:v>
                </c:pt>
                <c:pt idx="67">
                  <c:v>0.47547914592076179</c:v>
                </c:pt>
                <c:pt idx="68">
                  <c:v>0.45177339444663056</c:v>
                </c:pt>
                <c:pt idx="69">
                  <c:v>0.49927792344865246</c:v>
                </c:pt>
                <c:pt idx="70">
                  <c:v>0.45783061624477606</c:v>
                </c:pt>
                <c:pt idx="71">
                  <c:v>0.46529943344899688</c:v>
                </c:pt>
                <c:pt idx="72">
                  <c:v>0.44594450757164494</c:v>
                </c:pt>
                <c:pt idx="73">
                  <c:v>0.48954571611950359</c:v>
                </c:pt>
                <c:pt idx="74">
                  <c:v>0.4573953339549906</c:v>
                </c:pt>
                <c:pt idx="75">
                  <c:v>0.4898369797055897</c:v>
                </c:pt>
                <c:pt idx="76">
                  <c:v>0.45593416016327831</c:v>
                </c:pt>
                <c:pt idx="77">
                  <c:v>0.49026192214961656</c:v>
                </c:pt>
                <c:pt idx="78">
                  <c:v>0.45560625675689564</c:v>
                </c:pt>
                <c:pt idx="79">
                  <c:v>0.45068374448600612</c:v>
                </c:pt>
                <c:pt idx="80">
                  <c:v>0.44000112428491372</c:v>
                </c:pt>
                <c:pt idx="81">
                  <c:v>0.45089834373728893</c:v>
                </c:pt>
                <c:pt idx="82">
                  <c:v>0.48104663990299046</c:v>
                </c:pt>
                <c:pt idx="83">
                  <c:v>0.47250155906280633</c:v>
                </c:pt>
                <c:pt idx="84">
                  <c:v>0.47914123254814339</c:v>
                </c:pt>
                <c:pt idx="85">
                  <c:v>0.52099764760523937</c:v>
                </c:pt>
                <c:pt idx="86">
                  <c:v>0.48758778354549215</c:v>
                </c:pt>
                <c:pt idx="87">
                  <c:v>0.46092274167669745</c:v>
                </c:pt>
                <c:pt idx="88">
                  <c:v>0.45369212682229249</c:v>
                </c:pt>
                <c:pt idx="89">
                  <c:v>0.44949843920314136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8D-4102-91D3-67F39AA881C0}"/>
            </c:ext>
          </c:extLst>
        </c:ser>
        <c:ser>
          <c:idx val="1"/>
          <c:order val="1"/>
          <c:tx>
            <c:strRef>
              <c:f>Output!$C$2</c:f>
              <c:strCache>
                <c:ptCount val="1"/>
                <c:pt idx="0">
                  <c:v>vwc 2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Output!$C$7:$C$600</c:f>
              <c:numCache>
                <c:formatCode>General</c:formatCode>
                <c:ptCount val="594"/>
                <c:pt idx="0">
                  <c:v>0.39621035328698506</c:v>
                </c:pt>
                <c:pt idx="1">
                  <c:v>0.38777708359748264</c:v>
                </c:pt>
                <c:pt idx="2">
                  <c:v>0.38539832203423824</c:v>
                </c:pt>
                <c:pt idx="3">
                  <c:v>0.38697925843345049</c:v>
                </c:pt>
                <c:pt idx="4">
                  <c:v>0.392070993654205</c:v>
                </c:pt>
                <c:pt idx="5">
                  <c:v>0.39163296461422281</c:v>
                </c:pt>
                <c:pt idx="6">
                  <c:v>0.38667850331833126</c:v>
                </c:pt>
                <c:pt idx="7">
                  <c:v>0.38393539874479476</c:v>
                </c:pt>
                <c:pt idx="8">
                  <c:v>0.38138755364123628</c:v>
                </c:pt>
                <c:pt idx="9">
                  <c:v>0.37340364015424599</c:v>
                </c:pt>
                <c:pt idx="10">
                  <c:v>0.36381770968415328</c:v>
                </c:pt>
                <c:pt idx="11">
                  <c:v>0.35513243764529862</c:v>
                </c:pt>
                <c:pt idx="12">
                  <c:v>0.34696774917467299</c:v>
                </c:pt>
                <c:pt idx="13">
                  <c:v>0.33904660112334933</c:v>
                </c:pt>
                <c:pt idx="14">
                  <c:v>0.33160289497197959</c:v>
                </c:pt>
                <c:pt idx="15">
                  <c:v>0.32478359569081944</c:v>
                </c:pt>
                <c:pt idx="16">
                  <c:v>0.31874766466707982</c:v>
                </c:pt>
                <c:pt idx="17">
                  <c:v>0.31232096771534673</c:v>
                </c:pt>
                <c:pt idx="18">
                  <c:v>0.30550249946777869</c:v>
                </c:pt>
                <c:pt idx="19">
                  <c:v>0.30006649729704032</c:v>
                </c:pt>
                <c:pt idx="20">
                  <c:v>0.29631569409000313</c:v>
                </c:pt>
                <c:pt idx="21">
                  <c:v>0.29326538031700372</c:v>
                </c:pt>
                <c:pt idx="22">
                  <c:v>0.29044143856523386</c:v>
                </c:pt>
                <c:pt idx="23">
                  <c:v>0.28921472884828403</c:v>
                </c:pt>
                <c:pt idx="24">
                  <c:v>0.2880676119384063</c:v>
                </c:pt>
                <c:pt idx="25">
                  <c:v>0.28610655815061226</c:v>
                </c:pt>
                <c:pt idx="26">
                  <c:v>0.28366603775645927</c:v>
                </c:pt>
                <c:pt idx="27">
                  <c:v>0.2813697010608866</c:v>
                </c:pt>
                <c:pt idx="28">
                  <c:v>0.27968974959231746</c:v>
                </c:pt>
                <c:pt idx="29">
                  <c:v>0.28050126593598163</c:v>
                </c:pt>
                <c:pt idx="30">
                  <c:v>0.28116603032328652</c:v>
                </c:pt>
                <c:pt idx="31">
                  <c:v>0.28197240026684617</c:v>
                </c:pt>
                <c:pt idx="32">
                  <c:v>0.28232967226556616</c:v>
                </c:pt>
                <c:pt idx="33">
                  <c:v>0.28200396486033319</c:v>
                </c:pt>
                <c:pt idx="34">
                  <c:v>0.28055219700250783</c:v>
                </c:pt>
                <c:pt idx="35">
                  <c:v>0.27902033441022378</c:v>
                </c:pt>
                <c:pt idx="36">
                  <c:v>0.27730293728612609</c:v>
                </c:pt>
                <c:pt idx="37">
                  <c:v>0.31318096389601929</c:v>
                </c:pt>
                <c:pt idx="38">
                  <c:v>0.42889174298991389</c:v>
                </c:pt>
                <c:pt idx="39">
                  <c:v>0.45494041925745266</c:v>
                </c:pt>
                <c:pt idx="40">
                  <c:v>0.47276797706514245</c:v>
                </c:pt>
                <c:pt idx="41">
                  <c:v>0.46303082595624995</c:v>
                </c:pt>
                <c:pt idx="42">
                  <c:v>0.44679380444030103</c:v>
                </c:pt>
                <c:pt idx="43">
                  <c:v>0.43646973822624197</c:v>
                </c:pt>
                <c:pt idx="44">
                  <c:v>0.42659295181155998</c:v>
                </c:pt>
                <c:pt idx="45">
                  <c:v>0.53942092813020659</c:v>
                </c:pt>
                <c:pt idx="46">
                  <c:v>0.47026833179620331</c:v>
                </c:pt>
                <c:pt idx="47">
                  <c:v>0.44988342562883898</c:v>
                </c:pt>
                <c:pt idx="48">
                  <c:v>0.43352581362940146</c:v>
                </c:pt>
                <c:pt idx="49">
                  <c:v>0.42082287186536382</c:v>
                </c:pt>
                <c:pt idx="50">
                  <c:v>0.41076831069824077</c:v>
                </c:pt>
                <c:pt idx="51">
                  <c:v>0.40023220759637607</c:v>
                </c:pt>
                <c:pt idx="52">
                  <c:v>0.39392314545932039</c:v>
                </c:pt>
                <c:pt idx="53">
                  <c:v>0.39126562183831354</c:v>
                </c:pt>
                <c:pt idx="54">
                  <c:v>0.44423904890746774</c:v>
                </c:pt>
                <c:pt idx="55">
                  <c:v>0.43508885449724688</c:v>
                </c:pt>
                <c:pt idx="56">
                  <c:v>0.42435483391348183</c:v>
                </c:pt>
                <c:pt idx="57">
                  <c:v>0.41741434659780702</c:v>
                </c:pt>
                <c:pt idx="58">
                  <c:v>0.41420565038370816</c:v>
                </c:pt>
                <c:pt idx="59">
                  <c:v>0.43502053233744314</c:v>
                </c:pt>
                <c:pt idx="60">
                  <c:v>0.43366374168501942</c:v>
                </c:pt>
                <c:pt idx="61">
                  <c:v>0.42670237588992099</c:v>
                </c:pt>
                <c:pt idx="62">
                  <c:v>0.41910324713656322</c:v>
                </c:pt>
                <c:pt idx="63">
                  <c:v>0.5130281755773376</c:v>
                </c:pt>
                <c:pt idx="64">
                  <c:v>0.47582047033240987</c:v>
                </c:pt>
                <c:pt idx="65">
                  <c:v>0.4628246569225023</c:v>
                </c:pt>
                <c:pt idx="66">
                  <c:v>0.50574060052191794</c:v>
                </c:pt>
                <c:pt idx="67">
                  <c:v>0.47624443198113742</c:v>
                </c:pt>
                <c:pt idx="68">
                  <c:v>0.45711034879603635</c:v>
                </c:pt>
                <c:pt idx="69">
                  <c:v>0.494331164602413</c:v>
                </c:pt>
                <c:pt idx="70">
                  <c:v>0.46308948547159062</c:v>
                </c:pt>
                <c:pt idx="71">
                  <c:v>0.4629882679269387</c:v>
                </c:pt>
                <c:pt idx="72">
                  <c:v>0.45096007228591484</c:v>
                </c:pt>
                <c:pt idx="73">
                  <c:v>0.48332855466866398</c:v>
                </c:pt>
                <c:pt idx="74">
                  <c:v>0.4609084815059255</c:v>
                </c:pt>
                <c:pt idx="75">
                  <c:v>0.48452301211931459</c:v>
                </c:pt>
                <c:pt idx="76">
                  <c:v>0.46023857716280769</c:v>
                </c:pt>
                <c:pt idx="77">
                  <c:v>0.48488428539978823</c:v>
                </c:pt>
                <c:pt idx="78">
                  <c:v>0.46059578012895375</c:v>
                </c:pt>
                <c:pt idx="79">
                  <c:v>0.45206387876237969</c:v>
                </c:pt>
                <c:pt idx="80">
                  <c:v>0.44454177271128248</c:v>
                </c:pt>
                <c:pt idx="81">
                  <c:v>0.44532291921161715</c:v>
                </c:pt>
                <c:pt idx="82">
                  <c:v>0.47319872926602269</c:v>
                </c:pt>
                <c:pt idx="83">
                  <c:v>0.46997731260613801</c:v>
                </c:pt>
                <c:pt idx="84">
                  <c:v>0.47522213197455998</c:v>
                </c:pt>
                <c:pt idx="85">
                  <c:v>0.52076192609967298</c:v>
                </c:pt>
                <c:pt idx="86">
                  <c:v>0.48757111638414491</c:v>
                </c:pt>
                <c:pt idx="87">
                  <c:v>0.4662974072689588</c:v>
                </c:pt>
                <c:pt idx="88">
                  <c:v>0.45718772921124645</c:v>
                </c:pt>
                <c:pt idx="89">
                  <c:v>0.45119874089799711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8D-4102-91D3-67F39AA881C0}"/>
            </c:ext>
          </c:extLst>
        </c:ser>
        <c:ser>
          <c:idx val="2"/>
          <c:order val="2"/>
          <c:tx>
            <c:strRef>
              <c:f>Output!$D$2</c:f>
              <c:strCache>
                <c:ptCount val="1"/>
                <c:pt idx="0">
                  <c:v>vwc 3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Output!$D$7:$D$600</c:f>
              <c:numCache>
                <c:formatCode>General</c:formatCode>
                <c:ptCount val="594"/>
                <c:pt idx="0">
                  <c:v>0.39995802811012643</c:v>
                </c:pt>
                <c:pt idx="1">
                  <c:v>0.39975786143027464</c:v>
                </c:pt>
                <c:pt idx="2">
                  <c:v>0.39943740252455001</c:v>
                </c:pt>
                <c:pt idx="3">
                  <c:v>0.39913231236297836</c:v>
                </c:pt>
                <c:pt idx="4">
                  <c:v>0.39888967298117728</c:v>
                </c:pt>
                <c:pt idx="5">
                  <c:v>0.39872837071972789</c:v>
                </c:pt>
                <c:pt idx="6">
                  <c:v>0.398508578677643</c:v>
                </c:pt>
                <c:pt idx="7">
                  <c:v>0.39820892635208338</c:v>
                </c:pt>
                <c:pt idx="8">
                  <c:v>0.39788714766125222</c:v>
                </c:pt>
                <c:pt idx="9">
                  <c:v>0.39750178277852866</c:v>
                </c:pt>
                <c:pt idx="10">
                  <c:v>0.39702524440808201</c:v>
                </c:pt>
                <c:pt idx="11">
                  <c:v>0.39649061913088052</c:v>
                </c:pt>
                <c:pt idx="12">
                  <c:v>0.39592371330923692</c:v>
                </c:pt>
                <c:pt idx="13">
                  <c:v>0.39533867699877423</c:v>
                </c:pt>
                <c:pt idx="14">
                  <c:v>0.3946583323863313</c:v>
                </c:pt>
                <c:pt idx="15">
                  <c:v>0.39384415893540486</c:v>
                </c:pt>
                <c:pt idx="16">
                  <c:v>0.39292145995803995</c:v>
                </c:pt>
                <c:pt idx="17">
                  <c:v>0.39190558907936673</c:v>
                </c:pt>
                <c:pt idx="18">
                  <c:v>0.39078972345769281</c:v>
                </c:pt>
                <c:pt idx="19">
                  <c:v>0.38958861105704506</c:v>
                </c:pt>
                <c:pt idx="20">
                  <c:v>0.38834314178984308</c:v>
                </c:pt>
                <c:pt idx="21">
                  <c:v>0.38708460564725278</c:v>
                </c:pt>
                <c:pt idx="22">
                  <c:v>0.38582270141342689</c:v>
                </c:pt>
                <c:pt idx="23">
                  <c:v>0.38457519665020695</c:v>
                </c:pt>
                <c:pt idx="24">
                  <c:v>0.38336677120599294</c:v>
                </c:pt>
                <c:pt idx="25">
                  <c:v>0.38218198983267532</c:v>
                </c:pt>
                <c:pt idx="26">
                  <c:v>0.38100609311614908</c:v>
                </c:pt>
                <c:pt idx="27">
                  <c:v>0.37983444842022851</c:v>
                </c:pt>
                <c:pt idx="28">
                  <c:v>0.37867572395893917</c:v>
                </c:pt>
                <c:pt idx="29">
                  <c:v>0.37755796475957881</c:v>
                </c:pt>
                <c:pt idx="30">
                  <c:v>0.37650718719273424</c:v>
                </c:pt>
                <c:pt idx="31">
                  <c:v>0.37551161593182902</c:v>
                </c:pt>
                <c:pt idx="32">
                  <c:v>0.37456512112935769</c:v>
                </c:pt>
                <c:pt idx="33">
                  <c:v>0.37365500389697787</c:v>
                </c:pt>
                <c:pt idx="34">
                  <c:v>0.37276343072239942</c:v>
                </c:pt>
                <c:pt idx="35">
                  <c:v>0.37187892551804691</c:v>
                </c:pt>
                <c:pt idx="36">
                  <c:v>0.37100027738557695</c:v>
                </c:pt>
                <c:pt idx="37">
                  <c:v>0.37031636554275116</c:v>
                </c:pt>
                <c:pt idx="38">
                  <c:v>0.37082906111129382</c:v>
                </c:pt>
                <c:pt idx="39">
                  <c:v>0.37440253154669356</c:v>
                </c:pt>
                <c:pt idx="40">
                  <c:v>0.38204553063715369</c:v>
                </c:pt>
                <c:pt idx="41">
                  <c:v>0.39068248235888481</c:v>
                </c:pt>
                <c:pt idx="42">
                  <c:v>0.39593794334989435</c:v>
                </c:pt>
                <c:pt idx="43">
                  <c:v>0.39885077483529513</c:v>
                </c:pt>
                <c:pt idx="44">
                  <c:v>0.40046361027480559</c:v>
                </c:pt>
                <c:pt idx="45">
                  <c:v>0.39971395403086196</c:v>
                </c:pt>
                <c:pt idx="46">
                  <c:v>0.42488526964824852</c:v>
                </c:pt>
                <c:pt idx="47">
                  <c:v>0.43025658871631667</c:v>
                </c:pt>
                <c:pt idx="48">
                  <c:v>0.43128115740511153</c:v>
                </c:pt>
                <c:pt idx="49">
                  <c:v>0.43046034856679727</c:v>
                </c:pt>
                <c:pt idx="50">
                  <c:v>0.42887446649397659</c:v>
                </c:pt>
                <c:pt idx="51">
                  <c:v>0.42672985490659893</c:v>
                </c:pt>
                <c:pt idx="52">
                  <c:v>0.42468573113687214</c:v>
                </c:pt>
                <c:pt idx="53">
                  <c:v>0.42265404172697241</c:v>
                </c:pt>
                <c:pt idx="54">
                  <c:v>0.42152397907443589</c:v>
                </c:pt>
                <c:pt idx="55">
                  <c:v>0.42294377205117684</c:v>
                </c:pt>
                <c:pt idx="56">
                  <c:v>0.42285928185366528</c:v>
                </c:pt>
                <c:pt idx="57">
                  <c:v>0.42185879478421867</c:v>
                </c:pt>
                <c:pt idx="58">
                  <c:v>0.42099592375873568</c:v>
                </c:pt>
                <c:pt idx="59">
                  <c:v>0.42015521233645303</c:v>
                </c:pt>
                <c:pt idx="60">
                  <c:v>0.42079461105950222</c:v>
                </c:pt>
                <c:pt idx="61">
                  <c:v>0.42099536122582892</c:v>
                </c:pt>
                <c:pt idx="62">
                  <c:v>0.42024254580842857</c:v>
                </c:pt>
                <c:pt idx="63">
                  <c:v>0.43876173490044534</c:v>
                </c:pt>
                <c:pt idx="64">
                  <c:v>0.4562841861718066</c:v>
                </c:pt>
                <c:pt idx="65">
                  <c:v>0.45939747965217426</c:v>
                </c:pt>
                <c:pt idx="66">
                  <c:v>0.47630696271575412</c:v>
                </c:pt>
                <c:pt idx="67">
                  <c:v>0.48102411558361957</c:v>
                </c:pt>
                <c:pt idx="68">
                  <c:v>0.47355142934753414</c:v>
                </c:pt>
                <c:pt idx="69">
                  <c:v>0.4767349493009263</c:v>
                </c:pt>
                <c:pt idx="70">
                  <c:v>0.47508853588931466</c:v>
                </c:pt>
                <c:pt idx="71">
                  <c:v>0.46989899811695635</c:v>
                </c:pt>
                <c:pt idx="72">
                  <c:v>0.46499987656440483</c:v>
                </c:pt>
                <c:pt idx="73">
                  <c:v>0.46619719422840661</c:v>
                </c:pt>
                <c:pt idx="74">
                  <c:v>0.46665022819738589</c:v>
                </c:pt>
                <c:pt idx="75">
                  <c:v>0.46860280274112315</c:v>
                </c:pt>
                <c:pt idx="76">
                  <c:v>0.46788633813823027</c:v>
                </c:pt>
                <c:pt idx="77">
                  <c:v>0.46909227873057596</c:v>
                </c:pt>
                <c:pt idx="78">
                  <c:v>0.46871320290686874</c:v>
                </c:pt>
                <c:pt idx="79">
                  <c:v>0.46336481771068189</c:v>
                </c:pt>
                <c:pt idx="80">
                  <c:v>0.458848084530176</c:v>
                </c:pt>
                <c:pt idx="81">
                  <c:v>0.45327570957316171</c:v>
                </c:pt>
                <c:pt idx="82">
                  <c:v>0.45324953505027815</c:v>
                </c:pt>
                <c:pt idx="83">
                  <c:v>0.45756144462766518</c:v>
                </c:pt>
                <c:pt idx="84">
                  <c:v>0.46093199313337707</c:v>
                </c:pt>
                <c:pt idx="85">
                  <c:v>0.49825146327386355</c:v>
                </c:pt>
                <c:pt idx="86">
                  <c:v>0.49450785321910601</c:v>
                </c:pt>
                <c:pt idx="87">
                  <c:v>0.4827884309551288</c:v>
                </c:pt>
                <c:pt idx="88">
                  <c:v>0.47306284140656646</c:v>
                </c:pt>
                <c:pt idx="89">
                  <c:v>0.46481932143587046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8D-4102-91D3-67F39AA88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210272"/>
        <c:axId val="675212240"/>
      </c:scatterChart>
      <c:valAx>
        <c:axId val="675210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2240"/>
        <c:crosses val="autoZero"/>
        <c:crossBetween val="midCat"/>
      </c:valAx>
      <c:valAx>
        <c:axId val="675212240"/>
        <c:scaling>
          <c:orientation val="minMax"/>
          <c:max val="0.6000000000000000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vol. water (m3 m-3)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0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33320834895638"/>
          <c:y val="0.87080427875577338"/>
          <c:w val="0.74857361579802528"/>
          <c:h val="6.43597181931205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54530683664542"/>
          <c:y val="0.11334363730036064"/>
          <c:w val="0.77089613798275214"/>
          <c:h val="0.77331272539927876"/>
        </c:manualLayout>
      </c:layout>
      <c:scatterChart>
        <c:scatterStyle val="lineMarker"/>
        <c:varyColors val="0"/>
        <c:ser>
          <c:idx val="0"/>
          <c:order val="0"/>
          <c:tx>
            <c:strRef>
              <c:f>Output!$K$2</c:f>
              <c:strCache>
                <c:ptCount val="1"/>
                <c:pt idx="0">
                  <c:v>rain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Output!$K$7:$K$600</c:f>
              <c:numCache>
                <c:formatCode>General</c:formatCode>
                <c:ptCount val="594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5.9</c:v>
                </c:pt>
                <c:pt idx="4">
                  <c:v>8.1</c:v>
                </c:pt>
                <c:pt idx="5">
                  <c:v>0</c:v>
                </c:pt>
                <c:pt idx="6">
                  <c:v>0</c:v>
                </c:pt>
                <c:pt idx="7">
                  <c:v>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0.8</c:v>
                </c:pt>
                <c:pt idx="24">
                  <c:v>0</c:v>
                </c:pt>
                <c:pt idx="25">
                  <c:v>0.2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5.9</c:v>
                </c:pt>
                <c:pt idx="30">
                  <c:v>0</c:v>
                </c:pt>
                <c:pt idx="31">
                  <c:v>0.9</c:v>
                </c:pt>
                <c:pt idx="32">
                  <c:v>1.2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0.3</c:v>
                </c:pt>
                <c:pt idx="37">
                  <c:v>30.2</c:v>
                </c:pt>
                <c:pt idx="38">
                  <c:v>46.5</c:v>
                </c:pt>
                <c:pt idx="39">
                  <c:v>14.5</c:v>
                </c:pt>
                <c:pt idx="40">
                  <c:v>16.7</c:v>
                </c:pt>
                <c:pt idx="41">
                  <c:v>6</c:v>
                </c:pt>
                <c:pt idx="42">
                  <c:v>0</c:v>
                </c:pt>
                <c:pt idx="43">
                  <c:v>0</c:v>
                </c:pt>
                <c:pt idx="44">
                  <c:v>1.4</c:v>
                </c:pt>
                <c:pt idx="45">
                  <c:v>98.4</c:v>
                </c:pt>
                <c:pt idx="46">
                  <c:v>1.2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3.5</c:v>
                </c:pt>
                <c:pt idx="54">
                  <c:v>25.3</c:v>
                </c:pt>
                <c:pt idx="55">
                  <c:v>0</c:v>
                </c:pt>
                <c:pt idx="56">
                  <c:v>0</c:v>
                </c:pt>
                <c:pt idx="57">
                  <c:v>1.5</c:v>
                </c:pt>
                <c:pt idx="58">
                  <c:v>0.7</c:v>
                </c:pt>
                <c:pt idx="59">
                  <c:v>13.2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54.2</c:v>
                </c:pt>
                <c:pt idx="64">
                  <c:v>8.4</c:v>
                </c:pt>
                <c:pt idx="65">
                  <c:v>4.9000000000000004</c:v>
                </c:pt>
                <c:pt idx="66">
                  <c:v>41.3</c:v>
                </c:pt>
                <c:pt idx="67">
                  <c:v>7.2</c:v>
                </c:pt>
                <c:pt idx="68">
                  <c:v>0</c:v>
                </c:pt>
                <c:pt idx="69">
                  <c:v>30.3</c:v>
                </c:pt>
                <c:pt idx="70">
                  <c:v>0</c:v>
                </c:pt>
                <c:pt idx="71">
                  <c:v>6.8</c:v>
                </c:pt>
                <c:pt idx="72">
                  <c:v>0</c:v>
                </c:pt>
                <c:pt idx="73">
                  <c:v>22.6</c:v>
                </c:pt>
                <c:pt idx="74">
                  <c:v>1</c:v>
                </c:pt>
                <c:pt idx="75">
                  <c:v>21</c:v>
                </c:pt>
                <c:pt idx="76">
                  <c:v>0</c:v>
                </c:pt>
                <c:pt idx="77">
                  <c:v>21</c:v>
                </c:pt>
                <c:pt idx="78">
                  <c:v>0</c:v>
                </c:pt>
                <c:pt idx="79">
                  <c:v>1.2</c:v>
                </c:pt>
                <c:pt idx="80">
                  <c:v>0</c:v>
                </c:pt>
                <c:pt idx="81">
                  <c:v>3</c:v>
                </c:pt>
                <c:pt idx="82">
                  <c:v>16.5</c:v>
                </c:pt>
                <c:pt idx="83">
                  <c:v>8.1999999999999993</c:v>
                </c:pt>
                <c:pt idx="84">
                  <c:v>12</c:v>
                </c:pt>
                <c:pt idx="85">
                  <c:v>63</c:v>
                </c:pt>
                <c:pt idx="86">
                  <c:v>11.1</c:v>
                </c:pt>
                <c:pt idx="87">
                  <c:v>0</c:v>
                </c:pt>
                <c:pt idx="88">
                  <c:v>0.6</c:v>
                </c:pt>
                <c:pt idx="8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D-4C43-97AA-C0BC12EB0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210272"/>
        <c:axId val="675212240"/>
      </c:scatterChart>
      <c:valAx>
        <c:axId val="675210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5212240"/>
        <c:crosses val="autoZero"/>
        <c:crossBetween val="midCat"/>
      </c:valAx>
      <c:valAx>
        <c:axId val="675212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rain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0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16735408073993"/>
          <c:y val="0.17501988862370724"/>
          <c:w val="0.76803899512560925"/>
          <c:h val="0.62896410025119176"/>
        </c:manualLayout>
      </c:layout>
      <c:scatterChart>
        <c:scatterStyle val="lineMarker"/>
        <c:varyColors val="0"/>
        <c:ser>
          <c:idx val="1"/>
          <c:order val="0"/>
          <c:tx>
            <c:strRef>
              <c:f>Output!$N$2</c:f>
              <c:strCache>
                <c:ptCount val="1"/>
                <c:pt idx="0">
                  <c:v>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Output!$N$7:$N$600</c:f>
              <c:numCache>
                <c:formatCode>General</c:formatCode>
                <c:ptCount val="594"/>
                <c:pt idx="0">
                  <c:v>6.0647738716371004E-2</c:v>
                </c:pt>
                <c:pt idx="1">
                  <c:v>4.6443912038095628E-2</c:v>
                </c:pt>
                <c:pt idx="2">
                  <c:v>0.4</c:v>
                </c:pt>
                <c:pt idx="3">
                  <c:v>0.3</c:v>
                </c:pt>
                <c:pt idx="4">
                  <c:v>0.3</c:v>
                </c:pt>
                <c:pt idx="5">
                  <c:v>0.31692936324514664</c:v>
                </c:pt>
                <c:pt idx="6">
                  <c:v>0.19597001693990676</c:v>
                </c:pt>
                <c:pt idx="7">
                  <c:v>0.47440082854289994</c:v>
                </c:pt>
                <c:pt idx="8">
                  <c:v>0.29246675970548586</c:v>
                </c:pt>
                <c:pt idx="9">
                  <c:v>0.33306971605242963</c:v>
                </c:pt>
                <c:pt idx="10">
                  <c:v>0.25497399513155811</c:v>
                </c:pt>
                <c:pt idx="11">
                  <c:v>0.23446976615882947</c:v>
                </c:pt>
                <c:pt idx="12">
                  <c:v>0.21231326569883552</c:v>
                </c:pt>
                <c:pt idx="13">
                  <c:v>0.19056062561749282</c:v>
                </c:pt>
                <c:pt idx="14">
                  <c:v>0.20629807760287958</c:v>
                </c:pt>
                <c:pt idx="15">
                  <c:v>0.18617815485471031</c:v>
                </c:pt>
                <c:pt idx="16">
                  <c:v>0.17216982806146394</c:v>
                </c:pt>
                <c:pt idx="17">
                  <c:v>0.24514119474762955</c:v>
                </c:pt>
                <c:pt idx="18">
                  <c:v>0.25035599967687688</c:v>
                </c:pt>
                <c:pt idx="19">
                  <c:v>0.19322504276004149</c:v>
                </c:pt>
                <c:pt idx="20">
                  <c:v>0.17131788819280511</c:v>
                </c:pt>
                <c:pt idx="21">
                  <c:v>0.18209847769478543</c:v>
                </c:pt>
                <c:pt idx="22">
                  <c:v>0.19105598265657669</c:v>
                </c:pt>
                <c:pt idx="23">
                  <c:v>0.11812277623101371</c:v>
                </c:pt>
                <c:pt idx="24">
                  <c:v>0.16878167366636262</c:v>
                </c:pt>
                <c:pt idx="25">
                  <c:v>0.22926439421754791</c:v>
                </c:pt>
                <c:pt idx="26">
                  <c:v>0.24582492245538085</c:v>
                </c:pt>
                <c:pt idx="27">
                  <c:v>0.25276799067690814</c:v>
                </c:pt>
                <c:pt idx="28">
                  <c:v>0.20467355975079898</c:v>
                </c:pt>
                <c:pt idx="29">
                  <c:v>0.23294294891488609</c:v>
                </c:pt>
                <c:pt idx="30">
                  <c:v>0.32558772219176157</c:v>
                </c:pt>
                <c:pt idx="31">
                  <c:v>0.11621364452034866</c:v>
                </c:pt>
                <c:pt idx="32">
                  <c:v>0.23399600087417</c:v>
                </c:pt>
                <c:pt idx="33">
                  <c:v>0.2594386553197402</c:v>
                </c:pt>
                <c:pt idx="34">
                  <c:v>0.31970554327864709</c:v>
                </c:pt>
                <c:pt idx="35">
                  <c:v>0.25284883453806312</c:v>
                </c:pt>
                <c:pt idx="36">
                  <c:v>0.37899323594752332</c:v>
                </c:pt>
                <c:pt idx="37">
                  <c:v>1.4429671861745672</c:v>
                </c:pt>
                <c:pt idx="38">
                  <c:v>2.2000000000000002</c:v>
                </c:pt>
                <c:pt idx="39">
                  <c:v>2.5</c:v>
                </c:pt>
                <c:pt idx="40">
                  <c:v>2</c:v>
                </c:pt>
                <c:pt idx="41">
                  <c:v>1.3</c:v>
                </c:pt>
                <c:pt idx="42">
                  <c:v>1</c:v>
                </c:pt>
                <c:pt idx="43">
                  <c:v>0.6</c:v>
                </c:pt>
                <c:pt idx="44">
                  <c:v>2</c:v>
                </c:pt>
                <c:pt idx="45">
                  <c:v>1.8</c:v>
                </c:pt>
                <c:pt idx="46">
                  <c:v>1.5</c:v>
                </c:pt>
                <c:pt idx="47">
                  <c:v>1</c:v>
                </c:pt>
                <c:pt idx="48">
                  <c:v>2.8</c:v>
                </c:pt>
                <c:pt idx="49">
                  <c:v>3</c:v>
                </c:pt>
                <c:pt idx="50">
                  <c:v>2.8</c:v>
                </c:pt>
                <c:pt idx="51">
                  <c:v>3.8</c:v>
                </c:pt>
                <c:pt idx="52">
                  <c:v>2.4</c:v>
                </c:pt>
                <c:pt idx="53">
                  <c:v>2.4</c:v>
                </c:pt>
                <c:pt idx="54">
                  <c:v>4.8</c:v>
                </c:pt>
                <c:pt idx="55">
                  <c:v>3.3</c:v>
                </c:pt>
                <c:pt idx="56">
                  <c:v>2.9</c:v>
                </c:pt>
                <c:pt idx="57">
                  <c:v>3.5</c:v>
                </c:pt>
                <c:pt idx="58">
                  <c:v>1.9</c:v>
                </c:pt>
                <c:pt idx="59">
                  <c:v>3.9</c:v>
                </c:pt>
                <c:pt idx="60">
                  <c:v>2.8</c:v>
                </c:pt>
                <c:pt idx="61">
                  <c:v>2.1</c:v>
                </c:pt>
                <c:pt idx="62">
                  <c:v>3</c:v>
                </c:pt>
                <c:pt idx="63">
                  <c:v>2.9</c:v>
                </c:pt>
                <c:pt idx="64">
                  <c:v>2.7</c:v>
                </c:pt>
                <c:pt idx="65">
                  <c:v>2</c:v>
                </c:pt>
                <c:pt idx="66">
                  <c:v>4.5</c:v>
                </c:pt>
                <c:pt idx="67">
                  <c:v>1.7</c:v>
                </c:pt>
                <c:pt idx="68">
                  <c:v>3.6</c:v>
                </c:pt>
                <c:pt idx="69">
                  <c:v>4.7</c:v>
                </c:pt>
                <c:pt idx="70">
                  <c:v>3.8</c:v>
                </c:pt>
                <c:pt idx="71">
                  <c:v>2.1</c:v>
                </c:pt>
                <c:pt idx="72">
                  <c:v>2.2999999999999998</c:v>
                </c:pt>
                <c:pt idx="73">
                  <c:v>3.2</c:v>
                </c:pt>
                <c:pt idx="74">
                  <c:v>3.4</c:v>
                </c:pt>
                <c:pt idx="75">
                  <c:v>4.9000000000000004</c:v>
                </c:pt>
                <c:pt idx="76">
                  <c:v>4.2</c:v>
                </c:pt>
                <c:pt idx="77">
                  <c:v>5.6</c:v>
                </c:pt>
                <c:pt idx="78">
                  <c:v>3</c:v>
                </c:pt>
                <c:pt idx="79">
                  <c:v>3.6</c:v>
                </c:pt>
                <c:pt idx="80">
                  <c:v>1.8</c:v>
                </c:pt>
                <c:pt idx="81">
                  <c:v>5.7</c:v>
                </c:pt>
                <c:pt idx="82">
                  <c:v>5.0999999999999996</c:v>
                </c:pt>
                <c:pt idx="83">
                  <c:v>3.2</c:v>
                </c:pt>
                <c:pt idx="84">
                  <c:v>4.3</c:v>
                </c:pt>
                <c:pt idx="85">
                  <c:v>4.9000000000000004</c:v>
                </c:pt>
                <c:pt idx="86">
                  <c:v>5.4</c:v>
                </c:pt>
                <c:pt idx="87">
                  <c:v>2.8</c:v>
                </c:pt>
                <c:pt idx="88">
                  <c:v>2.8</c:v>
                </c:pt>
                <c:pt idx="89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CF-4A88-B67C-2027C96D4B93}"/>
            </c:ext>
          </c:extLst>
        </c:ser>
        <c:ser>
          <c:idx val="3"/>
          <c:order val="1"/>
          <c:tx>
            <c:strRef>
              <c:f>Output!$M$2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Output!$M$7:$M$600</c:f>
              <c:numCache>
                <c:formatCode>General</c:formatCode>
                <c:ptCount val="594"/>
                <c:pt idx="0">
                  <c:v>4.196696070929999</c:v>
                </c:pt>
                <c:pt idx="1">
                  <c:v>2.8955705294056351</c:v>
                </c:pt>
                <c:pt idx="2">
                  <c:v>5.2993736388842176</c:v>
                </c:pt>
                <c:pt idx="3">
                  <c:v>3.7995573300816639</c:v>
                </c:pt>
                <c:pt idx="4">
                  <c:v>3.4997605111708903</c:v>
                </c:pt>
                <c:pt idx="5">
                  <c:v>3.1986545446400161</c:v>
                </c:pt>
                <c:pt idx="6">
                  <c:v>2.4972648185127024</c:v>
                </c:pt>
                <c:pt idx="7">
                  <c:v>4.6990104756421305</c:v>
                </c:pt>
                <c:pt idx="8">
                  <c:v>2.9971490811973953</c:v>
                </c:pt>
                <c:pt idx="9">
                  <c:v>4.0809817094405085</c:v>
                </c:pt>
                <c:pt idx="10">
                  <c:v>2.8775977461974591</c:v>
                </c:pt>
                <c:pt idx="11">
                  <c:v>2.6658701759877546</c:v>
                </c:pt>
                <c:pt idx="12">
                  <c:v>2.6401273165364625</c:v>
                </c:pt>
                <c:pt idx="13">
                  <c:v>2.5934836622012192</c:v>
                </c:pt>
                <c:pt idx="14">
                  <c:v>2.4295786955928089</c:v>
                </c:pt>
                <c:pt idx="15">
                  <c:v>2.3264138412076467</c:v>
                </c:pt>
                <c:pt idx="16">
                  <c:v>2.0542790172874228</c:v>
                </c:pt>
                <c:pt idx="17">
                  <c:v>2.419531878126465</c:v>
                </c:pt>
                <c:pt idx="18">
                  <c:v>2.3768837756781873</c:v>
                </c:pt>
                <c:pt idx="19">
                  <c:v>1.886415566409563</c:v>
                </c:pt>
                <c:pt idx="20">
                  <c:v>1.422472718224175</c:v>
                </c:pt>
                <c:pt idx="21">
                  <c:v>1.4136171003184355</c:v>
                </c:pt>
                <c:pt idx="22">
                  <c:v>1.3744301078526389</c:v>
                </c:pt>
                <c:pt idx="23">
                  <c:v>1.0480052364790102</c:v>
                </c:pt>
                <c:pt idx="24">
                  <c:v>1.1480811851192441</c:v>
                </c:pt>
                <c:pt idx="25">
                  <c:v>1.3934109365205349</c:v>
                </c:pt>
                <c:pt idx="26">
                  <c:v>1.3128208732391728</c:v>
                </c:pt>
                <c:pt idx="27">
                  <c:v>1.1518521606599081</c:v>
                </c:pt>
                <c:pt idx="28">
                  <c:v>0.95106914723690406</c:v>
                </c:pt>
                <c:pt idx="29">
                  <c:v>1.8287931789096941</c:v>
                </c:pt>
                <c:pt idx="30">
                  <c:v>1.9975321052186374</c:v>
                </c:pt>
                <c:pt idx="31">
                  <c:v>0.75985517629974142</c:v>
                </c:pt>
                <c:pt idx="32">
                  <c:v>1.4752328763331146</c:v>
                </c:pt>
                <c:pt idx="33">
                  <c:v>1.206046037556576</c:v>
                </c:pt>
                <c:pt idx="34">
                  <c:v>1.1616200282627884</c:v>
                </c:pt>
                <c:pt idx="35">
                  <c:v>0.84949526298356881</c:v>
                </c:pt>
                <c:pt idx="36">
                  <c:v>1.1092510798929149</c:v>
                </c:pt>
                <c:pt idx="37">
                  <c:v>2.7996685930099017</c:v>
                </c:pt>
                <c:pt idx="38">
                  <c:v>2.7999496321107498</c:v>
                </c:pt>
                <c:pt idx="39">
                  <c:v>2.8999203628599952</c:v>
                </c:pt>
                <c:pt idx="40">
                  <c:v>2.2999499417766631</c:v>
                </c:pt>
                <c:pt idx="41">
                  <c:v>1.3999587060435554</c:v>
                </c:pt>
                <c:pt idx="42">
                  <c:v>0.99995196812337861</c:v>
                </c:pt>
                <c:pt idx="43">
                  <c:v>0.49997051857850688</c:v>
                </c:pt>
                <c:pt idx="44">
                  <c:v>1.8998710237980569</c:v>
                </c:pt>
                <c:pt idx="45">
                  <c:v>1.4999785786003086</c:v>
                </c:pt>
                <c:pt idx="46">
                  <c:v>1.1999658027184972</c:v>
                </c:pt>
                <c:pt idx="47">
                  <c:v>0.79996458415614968</c:v>
                </c:pt>
                <c:pt idx="48">
                  <c:v>2.0998635508861256</c:v>
                </c:pt>
                <c:pt idx="49">
                  <c:v>2.2997916051445988</c:v>
                </c:pt>
                <c:pt idx="50">
                  <c:v>2.1997320906375757</c:v>
                </c:pt>
                <c:pt idx="51">
                  <c:v>2.4996116423673058</c:v>
                </c:pt>
                <c:pt idx="52">
                  <c:v>1.5997081149325447</c:v>
                </c:pt>
                <c:pt idx="53">
                  <c:v>1.4998797912025659</c:v>
                </c:pt>
                <c:pt idx="54">
                  <c:v>2.7999358121654603</c:v>
                </c:pt>
                <c:pt idx="55">
                  <c:v>1.8998861685189203</c:v>
                </c:pt>
                <c:pt idx="56">
                  <c:v>1.5998793134841609</c:v>
                </c:pt>
                <c:pt idx="57">
                  <c:v>1.6998823671113825</c:v>
                </c:pt>
                <c:pt idx="58">
                  <c:v>0.89992782477112365</c:v>
                </c:pt>
                <c:pt idx="59">
                  <c:v>1.9999381534394836</c:v>
                </c:pt>
                <c:pt idx="60">
                  <c:v>1.1999385690289028</c:v>
                </c:pt>
                <c:pt idx="61">
                  <c:v>0.89993768798601659</c:v>
                </c:pt>
                <c:pt idx="62">
                  <c:v>1.1999049043039942</c:v>
                </c:pt>
                <c:pt idx="63">
                  <c:v>1.0999835222126932</c:v>
                </c:pt>
                <c:pt idx="64">
                  <c:v>0.99997727421701821</c:v>
                </c:pt>
                <c:pt idx="65">
                  <c:v>0.69997935599418615</c:v>
                </c:pt>
                <c:pt idx="66">
                  <c:v>1.2999843166693548</c:v>
                </c:pt>
                <c:pt idx="67">
                  <c:v>0.49998847341345592</c:v>
                </c:pt>
                <c:pt idx="68">
                  <c:v>1.0999591624233334</c:v>
                </c:pt>
                <c:pt idx="69">
                  <c:v>1.4999780618737257</c:v>
                </c:pt>
                <c:pt idx="70">
                  <c:v>0.99996720732893485</c:v>
                </c:pt>
                <c:pt idx="71">
                  <c:v>0.59998307800261907</c:v>
                </c:pt>
                <c:pt idx="72">
                  <c:v>0.49997905006648863</c:v>
                </c:pt>
                <c:pt idx="73">
                  <c:v>0.69998770131182297</c:v>
                </c:pt>
                <c:pt idx="74">
                  <c:v>0.69997684079444644</c:v>
                </c:pt>
                <c:pt idx="75">
                  <c:v>0.89998427478695098</c:v>
                </c:pt>
                <c:pt idx="76">
                  <c:v>0.69997614000316277</c:v>
                </c:pt>
                <c:pt idx="77">
                  <c:v>0.79998613450859957</c:v>
                </c:pt>
                <c:pt idx="78">
                  <c:v>0.49998284252277392</c:v>
                </c:pt>
                <c:pt idx="79">
                  <c:v>0.39998481207715136</c:v>
                </c:pt>
                <c:pt idx="80">
                  <c:v>0.19999050419362394</c:v>
                </c:pt>
                <c:pt idx="81">
                  <c:v>0.59997731893621176</c:v>
                </c:pt>
                <c:pt idx="82">
                  <c:v>0.39999172654982018</c:v>
                </c:pt>
                <c:pt idx="83">
                  <c:v>0.19999511145575755</c:v>
                </c:pt>
                <c:pt idx="84">
                  <c:v>0.29999356116824516</c:v>
                </c:pt>
                <c:pt idx="85">
                  <c:v>0.19999803286733212</c:v>
                </c:pt>
                <c:pt idx="86">
                  <c:v>0.19999635240618402</c:v>
                </c:pt>
                <c:pt idx="87">
                  <c:v>9.9996920071444631E-2</c:v>
                </c:pt>
                <c:pt idx="88">
                  <c:v>0</c:v>
                </c:pt>
                <c:pt idx="8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CCF-4A88-B67C-2027C96D4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210272"/>
        <c:axId val="675212240"/>
      </c:scatterChart>
      <c:valAx>
        <c:axId val="675210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5212240"/>
        <c:crosses val="autoZero"/>
        <c:crossBetween val="midCat"/>
      </c:valAx>
      <c:valAx>
        <c:axId val="675212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loss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0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088488938882641"/>
          <c:y val="0.15552695336159902"/>
          <c:w val="0.33569053868266469"/>
          <c:h val="8.56416986338246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16735408073993"/>
          <c:y val="0.17501988862370724"/>
          <c:w val="0.76803899512560925"/>
          <c:h val="0.49906481734576019"/>
        </c:manualLayout>
      </c:layout>
      <c:scatterChart>
        <c:scatterStyle val="lineMarker"/>
        <c:varyColors val="0"/>
        <c:ser>
          <c:idx val="0"/>
          <c:order val="0"/>
          <c:tx>
            <c:strRef>
              <c:f>Output!$O$2</c:f>
              <c:strCache>
                <c:ptCount val="1"/>
                <c:pt idx="0">
                  <c:v>total ET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Output!$A$7:$A$600</c:f>
              <c:numCache>
                <c:formatCode>General</c:formatCode>
                <c:ptCount val="5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Output!$O$7:$O$600</c:f>
              <c:numCache>
                <c:formatCode>General</c:formatCode>
                <c:ptCount val="594"/>
                <c:pt idx="0">
                  <c:v>4.25734380964637</c:v>
                </c:pt>
                <c:pt idx="1">
                  <c:v>2.9420144414437308</c:v>
                </c:pt>
                <c:pt idx="2">
                  <c:v>5.699373638884218</c:v>
                </c:pt>
                <c:pt idx="3">
                  <c:v>4.0995573300816641</c:v>
                </c:pt>
                <c:pt idx="4">
                  <c:v>3.7997605111708901</c:v>
                </c:pt>
                <c:pt idx="5">
                  <c:v>3.515583907885163</c:v>
                </c:pt>
                <c:pt idx="6">
                  <c:v>2.6932348354526092</c:v>
                </c:pt>
                <c:pt idx="7">
                  <c:v>5.1734113041850307</c:v>
                </c:pt>
                <c:pt idx="8">
                  <c:v>3.2896158409028811</c:v>
                </c:pt>
                <c:pt idx="9">
                  <c:v>4.4140514254929384</c:v>
                </c:pt>
                <c:pt idx="10">
                  <c:v>3.1325717413290173</c:v>
                </c:pt>
                <c:pt idx="11">
                  <c:v>2.9003399421465841</c:v>
                </c:pt>
                <c:pt idx="12">
                  <c:v>2.8524405822352978</c:v>
                </c:pt>
                <c:pt idx="13">
                  <c:v>2.7840442878187122</c:v>
                </c:pt>
                <c:pt idx="14">
                  <c:v>2.6358767731956885</c:v>
                </c:pt>
                <c:pt idx="15">
                  <c:v>2.5125919960623571</c:v>
                </c:pt>
                <c:pt idx="16">
                  <c:v>2.2264488453488869</c:v>
                </c:pt>
                <c:pt idx="17">
                  <c:v>2.6646730728740944</c:v>
                </c:pt>
                <c:pt idx="18">
                  <c:v>2.627239775355064</c:v>
                </c:pt>
                <c:pt idx="19">
                  <c:v>2.0796406091696045</c:v>
                </c:pt>
                <c:pt idx="20">
                  <c:v>1.59379060641698</c:v>
                </c:pt>
                <c:pt idx="21">
                  <c:v>1.5957155780132208</c:v>
                </c:pt>
                <c:pt idx="22">
                  <c:v>1.5654860905092156</c:v>
                </c:pt>
                <c:pt idx="23">
                  <c:v>1.166128012710024</c:v>
                </c:pt>
                <c:pt idx="24">
                  <c:v>1.3168628587856066</c:v>
                </c:pt>
                <c:pt idx="25">
                  <c:v>1.6226753307380828</c:v>
                </c:pt>
                <c:pt idx="26">
                  <c:v>1.5586457956945536</c:v>
                </c:pt>
                <c:pt idx="27">
                  <c:v>1.4046201513368164</c:v>
                </c:pt>
                <c:pt idx="28">
                  <c:v>1.1557427069877031</c:v>
                </c:pt>
                <c:pt idx="29">
                  <c:v>2.06173612782458</c:v>
                </c:pt>
                <c:pt idx="30">
                  <c:v>2.323119827410399</c:v>
                </c:pt>
                <c:pt idx="31">
                  <c:v>0.87606882082009008</c:v>
                </c:pt>
                <c:pt idx="32">
                  <c:v>1.7092288772072846</c:v>
                </c:pt>
                <c:pt idx="33">
                  <c:v>1.4654846928763163</c:v>
                </c:pt>
                <c:pt idx="34">
                  <c:v>1.4813255715414355</c:v>
                </c:pt>
                <c:pt idx="35">
                  <c:v>1.1023440975216319</c:v>
                </c:pt>
                <c:pt idx="36">
                  <c:v>1.4882443158404381</c:v>
                </c:pt>
                <c:pt idx="37">
                  <c:v>4.2426357791844689</c:v>
                </c:pt>
                <c:pt idx="38">
                  <c:v>4.9999496321107504</c:v>
                </c:pt>
                <c:pt idx="39">
                  <c:v>5.3999203628599952</c:v>
                </c:pt>
                <c:pt idx="40">
                  <c:v>4.2999499417766636</c:v>
                </c:pt>
                <c:pt idx="41">
                  <c:v>2.6999587060435557</c:v>
                </c:pt>
                <c:pt idx="42">
                  <c:v>1.9999519681233786</c:v>
                </c:pt>
                <c:pt idx="43">
                  <c:v>1.0999705185785069</c:v>
                </c:pt>
                <c:pt idx="44">
                  <c:v>3.8998710237980569</c:v>
                </c:pt>
                <c:pt idx="45">
                  <c:v>3.2999785786003084</c:v>
                </c:pt>
                <c:pt idx="46">
                  <c:v>2.6999658027184972</c:v>
                </c:pt>
                <c:pt idx="47">
                  <c:v>1.7999645841561498</c:v>
                </c:pt>
                <c:pt idx="48">
                  <c:v>4.8998635508861259</c:v>
                </c:pt>
                <c:pt idx="49">
                  <c:v>5.2997916051445983</c:v>
                </c:pt>
                <c:pt idx="50">
                  <c:v>4.9997320906375755</c:v>
                </c:pt>
                <c:pt idx="51">
                  <c:v>6.2996116423673056</c:v>
                </c:pt>
                <c:pt idx="52">
                  <c:v>3.9997081149325444</c:v>
                </c:pt>
                <c:pt idx="53">
                  <c:v>3.899879791202566</c:v>
                </c:pt>
                <c:pt idx="54">
                  <c:v>7.5999358121654605</c:v>
                </c:pt>
                <c:pt idx="55">
                  <c:v>5.1998861685189199</c:v>
                </c:pt>
                <c:pt idx="56">
                  <c:v>4.4998793134841613</c:v>
                </c:pt>
                <c:pt idx="57">
                  <c:v>5.1998823671113827</c:v>
                </c:pt>
                <c:pt idx="58">
                  <c:v>2.7999278247711237</c:v>
                </c:pt>
                <c:pt idx="59">
                  <c:v>5.8999381534394839</c:v>
                </c:pt>
                <c:pt idx="60">
                  <c:v>3.9999385690289024</c:v>
                </c:pt>
                <c:pt idx="61">
                  <c:v>2.9999376879860167</c:v>
                </c:pt>
                <c:pt idx="62">
                  <c:v>4.1999049043039944</c:v>
                </c:pt>
                <c:pt idx="63">
                  <c:v>3.9999835222126929</c:v>
                </c:pt>
                <c:pt idx="64">
                  <c:v>3.6999772742170185</c:v>
                </c:pt>
                <c:pt idx="65">
                  <c:v>2.699979355994186</c:v>
                </c:pt>
                <c:pt idx="66">
                  <c:v>5.799984316669355</c:v>
                </c:pt>
                <c:pt idx="67">
                  <c:v>2.1999884734134558</c:v>
                </c:pt>
                <c:pt idx="68">
                  <c:v>4.6999591624233332</c:v>
                </c:pt>
                <c:pt idx="69">
                  <c:v>6.1999780618737255</c:v>
                </c:pt>
                <c:pt idx="70">
                  <c:v>4.799967207328935</c:v>
                </c:pt>
                <c:pt idx="71">
                  <c:v>2.6999830780026191</c:v>
                </c:pt>
                <c:pt idx="72">
                  <c:v>2.7999790500664883</c:v>
                </c:pt>
                <c:pt idx="73">
                  <c:v>3.8999877013118232</c:v>
                </c:pt>
                <c:pt idx="74">
                  <c:v>4.0999768407944464</c:v>
                </c:pt>
                <c:pt idx="75">
                  <c:v>5.7999842747869517</c:v>
                </c:pt>
                <c:pt idx="76">
                  <c:v>4.8999761400031634</c:v>
                </c:pt>
                <c:pt idx="77">
                  <c:v>6.3999861345085991</c:v>
                </c:pt>
                <c:pt idx="78">
                  <c:v>3.4999828425227739</c:v>
                </c:pt>
                <c:pt idx="79">
                  <c:v>3.9999848120771513</c:v>
                </c:pt>
                <c:pt idx="80">
                  <c:v>1.9999905041936239</c:v>
                </c:pt>
                <c:pt idx="81">
                  <c:v>6.2999773189362118</c:v>
                </c:pt>
                <c:pt idx="82">
                  <c:v>5.4999917265498199</c:v>
                </c:pt>
                <c:pt idx="83">
                  <c:v>3.3999951114557576</c:v>
                </c:pt>
                <c:pt idx="84">
                  <c:v>4.5999935611682448</c:v>
                </c:pt>
                <c:pt idx="85">
                  <c:v>5.0999980328673322</c:v>
                </c:pt>
                <c:pt idx="86">
                  <c:v>5.5999963524061842</c:v>
                </c:pt>
                <c:pt idx="87">
                  <c:v>2.8999969200714446</c:v>
                </c:pt>
                <c:pt idx="88">
                  <c:v>2.8</c:v>
                </c:pt>
                <c:pt idx="89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64-4894-BE45-B55A9D193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210272"/>
        <c:axId val="675212240"/>
      </c:scatterChart>
      <c:valAx>
        <c:axId val="675210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2240"/>
        <c:crosses val="autoZero"/>
        <c:crossBetween val="midCat"/>
      </c:valAx>
      <c:valAx>
        <c:axId val="675212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loss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0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821397325334338"/>
          <c:y val="0.8318067912283641"/>
          <c:w val="0.27134983127109114"/>
          <c:h val="6.96017565112053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95251</xdr:colOff>
      <xdr:row>5</xdr:row>
      <xdr:rowOff>57149</xdr:rowOff>
    </xdr:from>
    <xdr:to>
      <xdr:col>3</xdr:col>
      <xdr:colOff>0</xdr:colOff>
      <xdr:row>7</xdr:row>
      <xdr:rowOff>123824</xdr:rowOff>
    </xdr:to>
    <xdr:sp macro="" textlink="">
      <xdr:nvSpPr>
        <xdr:cNvPr id="2" name="Curved Right Arrow 1"/>
        <xdr:cNvSpPr/>
      </xdr:nvSpPr>
      <xdr:spPr>
        <a:xfrm flipV="1">
          <a:off x="2000251" y="1009649"/>
          <a:ext cx="200024" cy="523875"/>
        </a:xfrm>
        <a:prstGeom prst="curved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76200</xdr:colOff>
      <xdr:row>77</xdr:row>
      <xdr:rowOff>114298</xdr:rowOff>
    </xdr:from>
    <xdr:to>
      <xdr:col>5</xdr:col>
      <xdr:colOff>247650</xdr:colOff>
      <xdr:row>78</xdr:row>
      <xdr:rowOff>190499</xdr:rowOff>
    </xdr:to>
    <xdr:sp macro="" textlink="">
      <xdr:nvSpPr>
        <xdr:cNvPr id="10" name="Curved Right Arrow 9"/>
        <xdr:cNvSpPr/>
      </xdr:nvSpPr>
      <xdr:spPr>
        <a:xfrm flipV="1">
          <a:off x="4048125" y="14820898"/>
          <a:ext cx="171450" cy="342901"/>
        </a:xfrm>
        <a:prstGeom prst="curved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584835</xdr:colOff>
      <xdr:row>0</xdr:row>
      <xdr:rowOff>146685</xdr:rowOff>
    </xdr:from>
    <xdr:to>
      <xdr:col>32</xdr:col>
      <xdr:colOff>127635</xdr:colOff>
      <xdr:row>18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440055</xdr:colOff>
      <xdr:row>17</xdr:row>
      <xdr:rowOff>86360</xdr:rowOff>
    </xdr:from>
    <xdr:to>
      <xdr:col>36</xdr:col>
      <xdr:colOff>592455</xdr:colOff>
      <xdr:row>34</xdr:row>
      <xdr:rowOff>177800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64770</xdr:colOff>
      <xdr:row>20</xdr:row>
      <xdr:rowOff>189229</xdr:rowOff>
    </xdr:from>
    <xdr:to>
      <xdr:col>32</xdr:col>
      <xdr:colOff>255270</xdr:colOff>
      <xdr:row>44</xdr:row>
      <xdr:rowOff>4445</xdr:rowOff>
    </xdr:to>
    <xdr:grpSp>
      <xdr:nvGrpSpPr>
        <xdr:cNvPr id="10" name="Group 9"/>
        <xdr:cNvGrpSpPr/>
      </xdr:nvGrpSpPr>
      <xdr:grpSpPr>
        <a:xfrm>
          <a:off x="12371070" y="3999229"/>
          <a:ext cx="3238500" cy="4387216"/>
          <a:chOff x="16516350" y="190499"/>
          <a:chExt cx="3238500" cy="4387216"/>
        </a:xfrm>
      </xdr:grpSpPr>
      <xdr:graphicFrame macro="">
        <xdr:nvGraphicFramePr>
          <xdr:cNvPr id="8" name="Chart 7"/>
          <xdr:cNvGraphicFramePr>
            <a:graphicFrameLocks/>
          </xdr:cNvGraphicFramePr>
        </xdr:nvGraphicFramePr>
        <xdr:xfrm>
          <a:off x="16516350" y="1247775"/>
          <a:ext cx="3200400" cy="33299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9" name="Chart 8"/>
          <xdr:cNvGraphicFramePr>
            <a:graphicFrameLocks/>
          </xdr:cNvGraphicFramePr>
        </xdr:nvGraphicFramePr>
        <xdr:xfrm>
          <a:off x="16554450" y="190499"/>
          <a:ext cx="3200400" cy="123253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17</xdr:col>
      <xdr:colOff>8890</xdr:colOff>
      <xdr:row>5</xdr:row>
      <xdr:rowOff>87629</xdr:rowOff>
    </xdr:from>
    <xdr:to>
      <xdr:col>22</xdr:col>
      <xdr:colOff>170815</xdr:colOff>
      <xdr:row>28</xdr:row>
      <xdr:rowOff>93345</xdr:rowOff>
    </xdr:to>
    <xdr:grpSp>
      <xdr:nvGrpSpPr>
        <xdr:cNvPr id="11" name="Group 10"/>
        <xdr:cNvGrpSpPr/>
      </xdr:nvGrpSpPr>
      <xdr:grpSpPr>
        <a:xfrm>
          <a:off x="6219190" y="1040129"/>
          <a:ext cx="3209925" cy="4387216"/>
          <a:chOff x="16554450" y="190499"/>
          <a:chExt cx="3209925" cy="4387216"/>
        </a:xfrm>
      </xdr:grpSpPr>
      <xdr:graphicFrame macro="">
        <xdr:nvGraphicFramePr>
          <xdr:cNvPr id="12" name="Chart 11"/>
          <xdr:cNvGraphicFramePr>
            <a:graphicFrameLocks/>
          </xdr:cNvGraphicFramePr>
        </xdr:nvGraphicFramePr>
        <xdr:xfrm>
          <a:off x="16554450" y="1247775"/>
          <a:ext cx="3200400" cy="33299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3" name="Chart 12"/>
          <xdr:cNvGraphicFramePr>
            <a:graphicFrameLocks/>
          </xdr:cNvGraphicFramePr>
        </xdr:nvGraphicFramePr>
        <xdr:xfrm>
          <a:off x="16563975" y="190499"/>
          <a:ext cx="3200400" cy="123253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21</xdr:col>
      <xdr:colOff>563880</xdr:colOff>
      <xdr:row>4</xdr:row>
      <xdr:rowOff>635</xdr:rowOff>
    </xdr:from>
    <xdr:to>
      <xdr:col>27</xdr:col>
      <xdr:colOff>106680</xdr:colOff>
      <xdr:row>16</xdr:row>
      <xdr:rowOff>92075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563880</xdr:colOff>
      <xdr:row>13</xdr:row>
      <xdr:rowOff>184149</xdr:rowOff>
    </xdr:from>
    <xdr:to>
      <xdr:col>27</xdr:col>
      <xdr:colOff>106680</xdr:colOff>
      <xdr:row>28</xdr:row>
      <xdr:rowOff>161924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G13" sqref="G13"/>
    </sheetView>
  </sheetViews>
  <sheetFormatPr defaultRowHeight="15" x14ac:dyDescent="0.25"/>
  <cols>
    <col min="1" max="1" width="10.7109375" customWidth="1"/>
    <col min="3" max="3" width="4.42578125" customWidth="1"/>
    <col min="4" max="4" width="35" bestFit="1" customWidth="1"/>
  </cols>
  <sheetData>
    <row r="1" spans="1:8" x14ac:dyDescent="0.25">
      <c r="A1" s="1" t="s">
        <v>80</v>
      </c>
      <c r="D1" s="1" t="s">
        <v>106</v>
      </c>
    </row>
    <row r="2" spans="1:8" x14ac:dyDescent="0.25">
      <c r="A2" t="s">
        <v>81</v>
      </c>
      <c r="B2">
        <v>90</v>
      </c>
      <c r="D2" s="9" t="s">
        <v>107</v>
      </c>
      <c r="E2" s="12" t="s">
        <v>108</v>
      </c>
      <c r="F2" t="s">
        <v>109</v>
      </c>
    </row>
    <row r="3" spans="1:8" x14ac:dyDescent="0.25">
      <c r="A3" t="s">
        <v>82</v>
      </c>
      <c r="B3">
        <v>1</v>
      </c>
    </row>
    <row r="4" spans="1:8" x14ac:dyDescent="0.25">
      <c r="A4" t="s">
        <v>83</v>
      </c>
      <c r="B4">
        <v>90</v>
      </c>
    </row>
    <row r="5" spans="1:8" x14ac:dyDescent="0.25">
      <c r="A5" t="s">
        <v>84</v>
      </c>
      <c r="B5" t="b">
        <f>_step&lt;B2</f>
        <v>0</v>
      </c>
      <c r="D5" s="1" t="s">
        <v>85</v>
      </c>
    </row>
    <row r="6" spans="1:8" x14ac:dyDescent="0.25">
      <c r="D6" s="9" t="s">
        <v>87</v>
      </c>
      <c r="E6" s="12" t="s">
        <v>86</v>
      </c>
      <c r="F6">
        <f>rootdepth</f>
        <v>0.73000000000000054</v>
      </c>
      <c r="G6">
        <v>0.01</v>
      </c>
    </row>
    <row r="7" spans="1:8" ht="21" x14ac:dyDescent="0.3">
      <c r="D7" s="9" t="s">
        <v>88</v>
      </c>
      <c r="E7" s="12" t="s">
        <v>86</v>
      </c>
      <c r="F7">
        <f>vwc_1</f>
        <v>0.44949843920314136</v>
      </c>
      <c r="G7">
        <v>0.4</v>
      </c>
    </row>
    <row r="8" spans="1:8" ht="21" x14ac:dyDescent="0.3">
      <c r="D8" s="9" t="s">
        <v>89</v>
      </c>
      <c r="E8" s="12" t="s">
        <v>86</v>
      </c>
      <c r="F8">
        <f>vwc_2</f>
        <v>0.45119874089799711</v>
      </c>
      <c r="G8">
        <v>0.4</v>
      </c>
    </row>
    <row r="9" spans="1:8" ht="21" x14ac:dyDescent="0.3">
      <c r="D9" s="9" t="s">
        <v>90</v>
      </c>
      <c r="E9" s="12" t="s">
        <v>86</v>
      </c>
      <c r="F9">
        <f>vwc_3</f>
        <v>0.46481932143587046</v>
      </c>
      <c r="G9">
        <v>0.4</v>
      </c>
    </row>
    <row r="12" spans="1:8" x14ac:dyDescent="0.25">
      <c r="D12" s="1" t="s">
        <v>91</v>
      </c>
    </row>
    <row r="13" spans="1:8" x14ac:dyDescent="0.25">
      <c r="D13" s="9" t="s">
        <v>93</v>
      </c>
      <c r="E13" s="12" t="s">
        <v>92</v>
      </c>
      <c r="F13" t="e">
        <f>Model!H78:J78</f>
        <v>#VALUE!</v>
      </c>
      <c r="G13" t="e">
        <f>Model!H79:J79</f>
        <v>#VALUE!</v>
      </c>
      <c r="H13">
        <f>numintervals</f>
        <v>200</v>
      </c>
    </row>
    <row r="14" spans="1:8" x14ac:dyDescent="0.25">
      <c r="D14" s="9" t="s">
        <v>94</v>
      </c>
      <c r="E14" s="12" t="s">
        <v>92</v>
      </c>
      <c r="F14">
        <f>rootdepth</f>
        <v>0.73000000000000054</v>
      </c>
      <c r="G14">
        <f>Model!E8</f>
        <v>0.73800000000000054</v>
      </c>
    </row>
  </sheetData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6"/>
  <sheetViews>
    <sheetView workbookViewId="0">
      <selection activeCell="L8" sqref="L8"/>
    </sheetView>
  </sheetViews>
  <sheetFormatPr defaultRowHeight="15" x14ac:dyDescent="0.25"/>
  <cols>
    <col min="2" max="2" width="9.7109375" bestFit="1" customWidth="1"/>
    <col min="3" max="3" width="11.28515625" bestFit="1" customWidth="1"/>
  </cols>
  <sheetData>
    <row r="1" spans="1:5" ht="21" x14ac:dyDescent="0.3">
      <c r="A1" s="12" t="s">
        <v>95</v>
      </c>
      <c r="B1" s="12" t="s">
        <v>78</v>
      </c>
      <c r="C1" s="12" t="s">
        <v>79</v>
      </c>
      <c r="D1" s="12" t="s">
        <v>42</v>
      </c>
      <c r="E1" s="12" t="s">
        <v>41</v>
      </c>
    </row>
    <row r="2" spans="1:5" x14ac:dyDescent="0.25">
      <c r="A2">
        <v>1</v>
      </c>
      <c r="B2">
        <v>0</v>
      </c>
      <c r="C2">
        <v>0.1</v>
      </c>
      <c r="D2">
        <v>0.1</v>
      </c>
      <c r="E2">
        <v>4.2</v>
      </c>
    </row>
    <row r="3" spans="1:5" x14ac:dyDescent="0.25">
      <c r="A3">
        <v>2</v>
      </c>
      <c r="B3">
        <v>0</v>
      </c>
      <c r="C3">
        <v>0.1</v>
      </c>
      <c r="D3">
        <v>0.1</v>
      </c>
      <c r="E3">
        <v>2.9</v>
      </c>
    </row>
    <row r="4" spans="1:5" x14ac:dyDescent="0.25">
      <c r="A4">
        <v>3</v>
      </c>
      <c r="B4">
        <v>12.5</v>
      </c>
      <c r="C4">
        <v>0.2</v>
      </c>
      <c r="D4">
        <v>0.4</v>
      </c>
      <c r="E4">
        <v>5.3</v>
      </c>
    </row>
    <row r="5" spans="1:5" x14ac:dyDescent="0.25">
      <c r="A5">
        <v>4</v>
      </c>
      <c r="B5">
        <v>5.9</v>
      </c>
      <c r="C5">
        <v>0.2</v>
      </c>
      <c r="D5">
        <v>0.3</v>
      </c>
      <c r="E5">
        <v>3.8</v>
      </c>
    </row>
    <row r="6" spans="1:5" x14ac:dyDescent="0.25">
      <c r="A6">
        <v>5</v>
      </c>
      <c r="B6">
        <v>8.1</v>
      </c>
      <c r="C6">
        <v>0.2</v>
      </c>
      <c r="D6">
        <v>0.3</v>
      </c>
      <c r="E6">
        <v>3.5</v>
      </c>
    </row>
    <row r="7" spans="1:5" x14ac:dyDescent="0.25">
      <c r="A7">
        <v>6</v>
      </c>
      <c r="B7">
        <v>0</v>
      </c>
      <c r="C7">
        <v>0.3</v>
      </c>
      <c r="D7">
        <v>0.4</v>
      </c>
      <c r="E7">
        <v>3.2</v>
      </c>
    </row>
    <row r="8" spans="1:5" x14ac:dyDescent="0.25">
      <c r="A8">
        <v>7</v>
      </c>
      <c r="B8">
        <v>0</v>
      </c>
      <c r="C8">
        <v>0.3</v>
      </c>
      <c r="D8">
        <v>0.3</v>
      </c>
      <c r="E8">
        <v>2.5</v>
      </c>
    </row>
    <row r="9" spans="1:5" x14ac:dyDescent="0.25">
      <c r="A9">
        <v>8</v>
      </c>
      <c r="B9">
        <v>9.5</v>
      </c>
      <c r="C9">
        <v>0.3</v>
      </c>
      <c r="D9">
        <v>0.5</v>
      </c>
      <c r="E9">
        <v>4.7</v>
      </c>
    </row>
    <row r="10" spans="1:5" x14ac:dyDescent="0.25">
      <c r="A10">
        <v>9</v>
      </c>
      <c r="B10">
        <v>0</v>
      </c>
      <c r="C10">
        <v>0.4</v>
      </c>
      <c r="D10">
        <v>0.4</v>
      </c>
      <c r="E10">
        <v>3</v>
      </c>
    </row>
    <row r="11" spans="1:5" x14ac:dyDescent="0.25">
      <c r="A11">
        <v>10</v>
      </c>
      <c r="B11">
        <v>0</v>
      </c>
      <c r="C11">
        <v>0.4</v>
      </c>
      <c r="D11">
        <v>0.6</v>
      </c>
      <c r="E11">
        <v>4.0999999999999996</v>
      </c>
    </row>
    <row r="12" spans="1:5" x14ac:dyDescent="0.25">
      <c r="A12">
        <v>11</v>
      </c>
      <c r="B12">
        <v>0</v>
      </c>
      <c r="C12">
        <v>0.4</v>
      </c>
      <c r="D12">
        <v>0.5</v>
      </c>
      <c r="E12">
        <v>2.9</v>
      </c>
    </row>
    <row r="13" spans="1:5" x14ac:dyDescent="0.25">
      <c r="A13">
        <v>12</v>
      </c>
      <c r="B13">
        <v>0</v>
      </c>
      <c r="C13">
        <v>0.5</v>
      </c>
      <c r="D13">
        <v>0.5</v>
      </c>
      <c r="E13">
        <v>2.7</v>
      </c>
    </row>
    <row r="14" spans="1:5" x14ac:dyDescent="0.25">
      <c r="A14">
        <v>13</v>
      </c>
      <c r="B14">
        <v>0</v>
      </c>
      <c r="C14">
        <v>0.5</v>
      </c>
      <c r="D14">
        <v>0.5</v>
      </c>
      <c r="E14">
        <v>2.7</v>
      </c>
    </row>
    <row r="15" spans="1:5" x14ac:dyDescent="0.25">
      <c r="A15">
        <v>14</v>
      </c>
      <c r="B15">
        <v>0</v>
      </c>
      <c r="C15">
        <v>0.5</v>
      </c>
      <c r="D15">
        <v>0.5</v>
      </c>
      <c r="E15">
        <v>2.7</v>
      </c>
    </row>
    <row r="16" spans="1:5" x14ac:dyDescent="0.25">
      <c r="A16">
        <v>15</v>
      </c>
      <c r="B16">
        <v>0</v>
      </c>
      <c r="C16">
        <v>0.6</v>
      </c>
      <c r="D16">
        <v>0.6</v>
      </c>
      <c r="E16">
        <v>2.6</v>
      </c>
    </row>
    <row r="17" spans="1:5" x14ac:dyDescent="0.25">
      <c r="A17">
        <v>16</v>
      </c>
      <c r="B17">
        <v>0</v>
      </c>
      <c r="C17">
        <v>0.6</v>
      </c>
      <c r="D17">
        <v>0.6</v>
      </c>
      <c r="E17">
        <v>2.6</v>
      </c>
    </row>
    <row r="18" spans="1:5" x14ac:dyDescent="0.25">
      <c r="A18">
        <v>17</v>
      </c>
      <c r="B18">
        <v>0</v>
      </c>
      <c r="C18">
        <v>0.6</v>
      </c>
      <c r="D18">
        <v>0.6</v>
      </c>
      <c r="E18">
        <v>2.4</v>
      </c>
    </row>
    <row r="19" spans="1:5" x14ac:dyDescent="0.25">
      <c r="A19">
        <v>18</v>
      </c>
      <c r="B19">
        <v>0</v>
      </c>
      <c r="C19">
        <v>0.7</v>
      </c>
      <c r="D19">
        <v>1</v>
      </c>
      <c r="E19">
        <v>3.3</v>
      </c>
    </row>
    <row r="20" spans="1:5" x14ac:dyDescent="0.25">
      <c r="A20">
        <v>19</v>
      </c>
      <c r="B20">
        <v>0</v>
      </c>
      <c r="C20">
        <v>0.7</v>
      </c>
      <c r="D20">
        <v>1.2</v>
      </c>
      <c r="E20">
        <v>4</v>
      </c>
    </row>
    <row r="21" spans="1:5" x14ac:dyDescent="0.25">
      <c r="A21">
        <v>20</v>
      </c>
      <c r="B21">
        <v>0</v>
      </c>
      <c r="C21">
        <v>0.7</v>
      </c>
      <c r="D21">
        <v>1</v>
      </c>
      <c r="E21">
        <v>3.4</v>
      </c>
    </row>
    <row r="22" spans="1:5" x14ac:dyDescent="0.25">
      <c r="A22">
        <v>21</v>
      </c>
      <c r="B22">
        <v>0</v>
      </c>
      <c r="C22">
        <v>0.8</v>
      </c>
      <c r="D22">
        <v>0.9</v>
      </c>
      <c r="E22">
        <v>2.5</v>
      </c>
    </row>
    <row r="23" spans="1:5" x14ac:dyDescent="0.25">
      <c r="A23">
        <v>22</v>
      </c>
      <c r="B23">
        <v>0</v>
      </c>
      <c r="C23">
        <v>0.8</v>
      </c>
      <c r="D23">
        <v>1</v>
      </c>
      <c r="E23">
        <v>2.7</v>
      </c>
    </row>
    <row r="24" spans="1:5" x14ac:dyDescent="0.25">
      <c r="A24">
        <v>23</v>
      </c>
      <c r="B24">
        <v>0</v>
      </c>
      <c r="C24">
        <v>0.8</v>
      </c>
      <c r="D24">
        <v>1.1000000000000001</v>
      </c>
      <c r="E24">
        <v>2.9</v>
      </c>
    </row>
    <row r="25" spans="1:5" x14ac:dyDescent="0.25">
      <c r="A25">
        <v>24</v>
      </c>
      <c r="B25">
        <v>0.8</v>
      </c>
      <c r="C25">
        <v>0.8</v>
      </c>
      <c r="D25">
        <v>0.6</v>
      </c>
      <c r="E25">
        <v>1.6</v>
      </c>
    </row>
    <row r="26" spans="1:5" x14ac:dyDescent="0.25">
      <c r="A26">
        <v>25</v>
      </c>
      <c r="B26">
        <v>0</v>
      </c>
      <c r="C26">
        <v>0.9</v>
      </c>
      <c r="D26">
        <v>0.9</v>
      </c>
      <c r="E26">
        <v>2.1</v>
      </c>
    </row>
    <row r="27" spans="1:5" x14ac:dyDescent="0.25">
      <c r="A27">
        <v>26</v>
      </c>
      <c r="B27">
        <v>0.2</v>
      </c>
      <c r="C27">
        <v>0.9</v>
      </c>
      <c r="D27">
        <v>1.3</v>
      </c>
      <c r="E27">
        <v>3.1</v>
      </c>
    </row>
    <row r="28" spans="1:5" x14ac:dyDescent="0.25">
      <c r="A28">
        <v>27</v>
      </c>
      <c r="B28">
        <v>0</v>
      </c>
      <c r="C28">
        <v>0.9</v>
      </c>
      <c r="D28">
        <v>1.5</v>
      </c>
      <c r="E28">
        <v>3.6</v>
      </c>
    </row>
    <row r="29" spans="1:5" x14ac:dyDescent="0.25">
      <c r="A29">
        <v>28</v>
      </c>
      <c r="B29">
        <v>0</v>
      </c>
      <c r="C29">
        <v>1</v>
      </c>
      <c r="D29">
        <v>1.6</v>
      </c>
      <c r="E29">
        <v>3.3</v>
      </c>
    </row>
    <row r="30" spans="1:5" x14ac:dyDescent="0.25">
      <c r="A30">
        <v>29</v>
      </c>
      <c r="B30">
        <v>0</v>
      </c>
      <c r="C30">
        <v>1</v>
      </c>
      <c r="D30">
        <v>1.3</v>
      </c>
      <c r="E30">
        <v>2.6</v>
      </c>
    </row>
    <row r="31" spans="1:5" x14ac:dyDescent="0.25">
      <c r="A31">
        <v>30</v>
      </c>
      <c r="B31">
        <v>5.9</v>
      </c>
      <c r="C31">
        <v>1</v>
      </c>
      <c r="D31">
        <v>0.9</v>
      </c>
      <c r="E31">
        <v>1.9</v>
      </c>
    </row>
    <row r="32" spans="1:5" x14ac:dyDescent="0.25">
      <c r="A32">
        <v>31</v>
      </c>
      <c r="B32">
        <v>0</v>
      </c>
      <c r="C32">
        <v>1.1000000000000001</v>
      </c>
      <c r="D32">
        <v>1.5</v>
      </c>
      <c r="E32">
        <v>2.5</v>
      </c>
    </row>
    <row r="33" spans="1:5" x14ac:dyDescent="0.25">
      <c r="A33">
        <v>32</v>
      </c>
      <c r="B33">
        <v>0.9</v>
      </c>
      <c r="C33">
        <v>1.1000000000000001</v>
      </c>
      <c r="D33">
        <v>0.5</v>
      </c>
      <c r="E33">
        <v>0.9</v>
      </c>
    </row>
    <row r="34" spans="1:5" x14ac:dyDescent="0.25">
      <c r="A34">
        <v>33</v>
      </c>
      <c r="B34">
        <v>1.2</v>
      </c>
      <c r="C34">
        <v>1.1000000000000001</v>
      </c>
      <c r="D34">
        <v>1</v>
      </c>
      <c r="E34">
        <v>1.8</v>
      </c>
    </row>
    <row r="35" spans="1:5" x14ac:dyDescent="0.25">
      <c r="A35">
        <v>34</v>
      </c>
      <c r="B35">
        <v>0</v>
      </c>
      <c r="C35">
        <v>1.2</v>
      </c>
      <c r="D35">
        <v>1.2</v>
      </c>
      <c r="E35">
        <v>1.9</v>
      </c>
    </row>
    <row r="36" spans="1:5" x14ac:dyDescent="0.25">
      <c r="A36">
        <v>35</v>
      </c>
      <c r="B36">
        <v>0</v>
      </c>
      <c r="C36">
        <v>1.2</v>
      </c>
      <c r="D36">
        <v>1.6</v>
      </c>
      <c r="E36">
        <v>2.5</v>
      </c>
    </row>
    <row r="37" spans="1:5" x14ac:dyDescent="0.25">
      <c r="A37">
        <v>36</v>
      </c>
      <c r="B37">
        <v>0</v>
      </c>
      <c r="C37">
        <v>1.2</v>
      </c>
      <c r="D37">
        <v>1.3</v>
      </c>
      <c r="E37">
        <v>1.9</v>
      </c>
    </row>
    <row r="38" spans="1:5" x14ac:dyDescent="0.25">
      <c r="A38">
        <v>37</v>
      </c>
      <c r="B38">
        <v>0.3</v>
      </c>
      <c r="C38">
        <v>1.3</v>
      </c>
      <c r="D38">
        <v>1.9</v>
      </c>
      <c r="E38">
        <v>2.6</v>
      </c>
    </row>
    <row r="39" spans="1:5" x14ac:dyDescent="0.25">
      <c r="A39">
        <v>38</v>
      </c>
      <c r="B39">
        <v>30.2</v>
      </c>
      <c r="C39">
        <v>1.3</v>
      </c>
      <c r="D39">
        <v>2.2000000000000002</v>
      </c>
      <c r="E39">
        <v>2.8</v>
      </c>
    </row>
    <row r="40" spans="1:5" x14ac:dyDescent="0.25">
      <c r="A40">
        <v>39</v>
      </c>
      <c r="B40">
        <v>46.5</v>
      </c>
      <c r="C40">
        <v>1.3</v>
      </c>
      <c r="D40">
        <v>2.2000000000000002</v>
      </c>
      <c r="E40">
        <v>2.8</v>
      </c>
    </row>
    <row r="41" spans="1:5" x14ac:dyDescent="0.25">
      <c r="A41">
        <v>40</v>
      </c>
      <c r="B41">
        <v>14.5</v>
      </c>
      <c r="C41">
        <v>1.4</v>
      </c>
      <c r="D41">
        <v>2.5</v>
      </c>
      <c r="E41">
        <v>2.9</v>
      </c>
    </row>
    <row r="42" spans="1:5" x14ac:dyDescent="0.25">
      <c r="A42">
        <v>41</v>
      </c>
      <c r="B42">
        <v>16.7</v>
      </c>
      <c r="C42">
        <v>1.4</v>
      </c>
      <c r="D42">
        <v>2</v>
      </c>
      <c r="E42">
        <v>2.2999999999999998</v>
      </c>
    </row>
    <row r="43" spans="1:5" x14ac:dyDescent="0.25">
      <c r="A43">
        <v>42</v>
      </c>
      <c r="B43">
        <v>6</v>
      </c>
      <c r="C43">
        <v>1.4</v>
      </c>
      <c r="D43">
        <v>1.3</v>
      </c>
      <c r="E43">
        <v>1.4</v>
      </c>
    </row>
    <row r="44" spans="1:5" x14ac:dyDescent="0.25">
      <c r="A44">
        <v>43</v>
      </c>
      <c r="B44">
        <v>0</v>
      </c>
      <c r="C44">
        <v>1.5</v>
      </c>
      <c r="D44">
        <v>1</v>
      </c>
      <c r="E44">
        <v>1</v>
      </c>
    </row>
    <row r="45" spans="1:5" x14ac:dyDescent="0.25">
      <c r="A45">
        <v>44</v>
      </c>
      <c r="B45">
        <v>0</v>
      </c>
      <c r="C45">
        <v>1.5</v>
      </c>
      <c r="D45">
        <v>0.6</v>
      </c>
      <c r="E45">
        <v>0.5</v>
      </c>
    </row>
    <row r="46" spans="1:5" x14ac:dyDescent="0.25">
      <c r="A46">
        <v>45</v>
      </c>
      <c r="B46">
        <v>1.4</v>
      </c>
      <c r="C46">
        <v>1.5</v>
      </c>
      <c r="D46">
        <v>2</v>
      </c>
      <c r="E46">
        <v>1.9</v>
      </c>
    </row>
    <row r="47" spans="1:5" x14ac:dyDescent="0.25">
      <c r="A47">
        <v>46</v>
      </c>
      <c r="B47">
        <v>98.4</v>
      </c>
      <c r="C47">
        <v>1.6</v>
      </c>
      <c r="D47">
        <v>1.8</v>
      </c>
      <c r="E47">
        <v>1.5</v>
      </c>
    </row>
    <row r="48" spans="1:5" x14ac:dyDescent="0.25">
      <c r="A48">
        <v>47</v>
      </c>
      <c r="B48">
        <v>1.2</v>
      </c>
      <c r="C48">
        <v>1.6</v>
      </c>
      <c r="D48">
        <v>1.5</v>
      </c>
      <c r="E48">
        <v>1.2</v>
      </c>
    </row>
    <row r="49" spans="1:5" x14ac:dyDescent="0.25">
      <c r="A49">
        <v>48</v>
      </c>
      <c r="B49">
        <v>0</v>
      </c>
      <c r="C49">
        <v>1.6</v>
      </c>
      <c r="D49">
        <v>1</v>
      </c>
      <c r="E49">
        <v>0.8</v>
      </c>
    </row>
    <row r="50" spans="1:5" x14ac:dyDescent="0.25">
      <c r="A50">
        <v>49</v>
      </c>
      <c r="B50">
        <v>0</v>
      </c>
      <c r="C50">
        <v>1.7</v>
      </c>
      <c r="D50">
        <v>2.8</v>
      </c>
      <c r="E50">
        <v>2.1</v>
      </c>
    </row>
    <row r="51" spans="1:5" x14ac:dyDescent="0.25">
      <c r="A51">
        <v>50</v>
      </c>
      <c r="B51">
        <v>0</v>
      </c>
      <c r="C51">
        <v>1.7</v>
      </c>
      <c r="D51">
        <v>3</v>
      </c>
      <c r="E51">
        <v>2.2999999999999998</v>
      </c>
    </row>
    <row r="52" spans="1:5" x14ac:dyDescent="0.25">
      <c r="A52">
        <v>51</v>
      </c>
      <c r="B52">
        <v>0</v>
      </c>
      <c r="C52">
        <v>1.7</v>
      </c>
      <c r="D52">
        <v>2.8</v>
      </c>
      <c r="E52">
        <v>2.2000000000000002</v>
      </c>
    </row>
    <row r="53" spans="1:5" x14ac:dyDescent="0.25">
      <c r="A53">
        <v>52</v>
      </c>
      <c r="B53">
        <v>0</v>
      </c>
      <c r="C53">
        <v>1.8</v>
      </c>
      <c r="D53">
        <v>3.8</v>
      </c>
      <c r="E53">
        <v>2.5</v>
      </c>
    </row>
    <row r="54" spans="1:5" x14ac:dyDescent="0.25">
      <c r="A54">
        <v>53</v>
      </c>
      <c r="B54">
        <v>0</v>
      </c>
      <c r="C54">
        <v>1.8</v>
      </c>
      <c r="D54">
        <v>2.4</v>
      </c>
      <c r="E54">
        <v>1.6</v>
      </c>
    </row>
    <row r="55" spans="1:5" x14ac:dyDescent="0.25">
      <c r="A55">
        <v>54</v>
      </c>
      <c r="B55">
        <v>3.5</v>
      </c>
      <c r="C55">
        <v>1.8</v>
      </c>
      <c r="D55">
        <v>2.4</v>
      </c>
      <c r="E55">
        <v>1.5</v>
      </c>
    </row>
    <row r="56" spans="1:5" x14ac:dyDescent="0.25">
      <c r="A56">
        <v>55</v>
      </c>
      <c r="B56">
        <v>25.3</v>
      </c>
      <c r="C56">
        <v>1.9</v>
      </c>
      <c r="D56">
        <v>4.8</v>
      </c>
      <c r="E56">
        <v>2.8</v>
      </c>
    </row>
    <row r="57" spans="1:5" x14ac:dyDescent="0.25">
      <c r="A57">
        <v>56</v>
      </c>
      <c r="B57">
        <v>0</v>
      </c>
      <c r="C57">
        <v>1.9</v>
      </c>
      <c r="D57">
        <v>3.3</v>
      </c>
      <c r="E57">
        <v>1.9</v>
      </c>
    </row>
    <row r="58" spans="1:5" x14ac:dyDescent="0.25">
      <c r="A58">
        <v>57</v>
      </c>
      <c r="B58">
        <v>0</v>
      </c>
      <c r="C58">
        <v>1.9</v>
      </c>
      <c r="D58">
        <v>2.9</v>
      </c>
      <c r="E58">
        <v>1.6</v>
      </c>
    </row>
    <row r="59" spans="1:5" x14ac:dyDescent="0.25">
      <c r="A59">
        <v>58</v>
      </c>
      <c r="B59">
        <v>1.5</v>
      </c>
      <c r="C59">
        <v>2</v>
      </c>
      <c r="D59">
        <v>3.5</v>
      </c>
      <c r="E59">
        <v>1.7</v>
      </c>
    </row>
    <row r="60" spans="1:5" x14ac:dyDescent="0.25">
      <c r="A60">
        <v>59</v>
      </c>
      <c r="B60">
        <v>0.7</v>
      </c>
      <c r="C60">
        <v>2</v>
      </c>
      <c r="D60">
        <v>1.9</v>
      </c>
      <c r="E60">
        <v>0.9</v>
      </c>
    </row>
    <row r="61" spans="1:5" x14ac:dyDescent="0.25">
      <c r="A61">
        <v>60</v>
      </c>
      <c r="B61">
        <v>13.2</v>
      </c>
      <c r="C61">
        <v>2</v>
      </c>
      <c r="D61">
        <v>3.9</v>
      </c>
      <c r="E61">
        <v>2</v>
      </c>
    </row>
    <row r="62" spans="1:5" x14ac:dyDescent="0.25">
      <c r="A62">
        <v>61</v>
      </c>
      <c r="B62">
        <v>2</v>
      </c>
      <c r="C62">
        <v>2.1</v>
      </c>
      <c r="D62">
        <v>2.8</v>
      </c>
      <c r="E62">
        <v>1.2</v>
      </c>
    </row>
    <row r="63" spans="1:5" x14ac:dyDescent="0.25">
      <c r="A63">
        <v>62</v>
      </c>
      <c r="B63">
        <v>0</v>
      </c>
      <c r="C63">
        <v>2.1</v>
      </c>
      <c r="D63">
        <v>2.1</v>
      </c>
      <c r="E63">
        <v>0.9</v>
      </c>
    </row>
    <row r="64" spans="1:5" x14ac:dyDescent="0.25">
      <c r="A64">
        <v>63</v>
      </c>
      <c r="B64">
        <v>0</v>
      </c>
      <c r="C64">
        <v>2.1</v>
      </c>
      <c r="D64">
        <v>3</v>
      </c>
      <c r="E64">
        <v>1.2</v>
      </c>
    </row>
    <row r="65" spans="1:5" x14ac:dyDescent="0.25">
      <c r="A65">
        <v>64</v>
      </c>
      <c r="B65">
        <v>54.2</v>
      </c>
      <c r="C65">
        <v>2.2000000000000002</v>
      </c>
      <c r="D65">
        <v>2.9</v>
      </c>
      <c r="E65">
        <v>1.1000000000000001</v>
      </c>
    </row>
    <row r="66" spans="1:5" x14ac:dyDescent="0.25">
      <c r="A66">
        <v>65</v>
      </c>
      <c r="B66">
        <v>8.4</v>
      </c>
      <c r="C66">
        <v>2.2000000000000002</v>
      </c>
      <c r="D66">
        <v>2.7</v>
      </c>
      <c r="E66">
        <v>1</v>
      </c>
    </row>
    <row r="67" spans="1:5" x14ac:dyDescent="0.25">
      <c r="A67">
        <v>66</v>
      </c>
      <c r="B67">
        <v>4.9000000000000004</v>
      </c>
      <c r="C67">
        <v>2.2000000000000002</v>
      </c>
      <c r="D67">
        <v>2</v>
      </c>
      <c r="E67">
        <v>0.7</v>
      </c>
    </row>
    <row r="68" spans="1:5" x14ac:dyDescent="0.25">
      <c r="A68">
        <v>67</v>
      </c>
      <c r="B68">
        <v>41.3</v>
      </c>
      <c r="C68">
        <v>2.2999999999999998</v>
      </c>
      <c r="D68">
        <v>4.5</v>
      </c>
      <c r="E68">
        <v>1.3</v>
      </c>
    </row>
    <row r="69" spans="1:5" x14ac:dyDescent="0.25">
      <c r="A69">
        <v>68</v>
      </c>
      <c r="B69">
        <v>7.2</v>
      </c>
      <c r="C69">
        <v>2.2999999999999998</v>
      </c>
      <c r="D69">
        <v>1.7</v>
      </c>
      <c r="E69">
        <v>0.5</v>
      </c>
    </row>
    <row r="70" spans="1:5" x14ac:dyDescent="0.25">
      <c r="A70">
        <v>69</v>
      </c>
      <c r="B70">
        <v>0</v>
      </c>
      <c r="C70">
        <v>2.2999999999999998</v>
      </c>
      <c r="D70">
        <v>3.6</v>
      </c>
      <c r="E70">
        <v>1.1000000000000001</v>
      </c>
    </row>
    <row r="71" spans="1:5" x14ac:dyDescent="0.25">
      <c r="A71">
        <v>70</v>
      </c>
      <c r="B71">
        <v>30.3</v>
      </c>
      <c r="C71">
        <v>2.2999999999999998</v>
      </c>
      <c r="D71">
        <v>4.7</v>
      </c>
      <c r="E71">
        <v>1.5</v>
      </c>
    </row>
    <row r="72" spans="1:5" x14ac:dyDescent="0.25">
      <c r="A72">
        <v>71</v>
      </c>
      <c r="B72">
        <v>0</v>
      </c>
      <c r="C72">
        <v>2.4</v>
      </c>
      <c r="D72">
        <v>3.8</v>
      </c>
      <c r="E72">
        <v>1</v>
      </c>
    </row>
    <row r="73" spans="1:5" x14ac:dyDescent="0.25">
      <c r="A73">
        <v>72</v>
      </c>
      <c r="B73">
        <v>6.8</v>
      </c>
      <c r="C73">
        <v>2.4</v>
      </c>
      <c r="D73">
        <v>2.1</v>
      </c>
      <c r="E73">
        <v>0.6</v>
      </c>
    </row>
    <row r="74" spans="1:5" x14ac:dyDescent="0.25">
      <c r="A74">
        <v>73</v>
      </c>
      <c r="B74">
        <v>0</v>
      </c>
      <c r="C74">
        <v>2.4</v>
      </c>
      <c r="D74">
        <v>2.2999999999999998</v>
      </c>
      <c r="E74">
        <v>0.5</v>
      </c>
    </row>
    <row r="75" spans="1:5" x14ac:dyDescent="0.25">
      <c r="A75">
        <v>74</v>
      </c>
      <c r="B75">
        <v>22.6</v>
      </c>
      <c r="C75">
        <v>2.5</v>
      </c>
      <c r="D75">
        <v>3.2</v>
      </c>
      <c r="E75">
        <v>0.7</v>
      </c>
    </row>
    <row r="76" spans="1:5" x14ac:dyDescent="0.25">
      <c r="A76">
        <v>75</v>
      </c>
      <c r="B76">
        <v>1</v>
      </c>
      <c r="C76">
        <v>2.5</v>
      </c>
      <c r="D76">
        <v>3.4</v>
      </c>
      <c r="E76">
        <v>0.7</v>
      </c>
    </row>
    <row r="77" spans="1:5" x14ac:dyDescent="0.25">
      <c r="A77">
        <v>76</v>
      </c>
      <c r="B77">
        <v>21</v>
      </c>
      <c r="C77">
        <v>2.5</v>
      </c>
      <c r="D77">
        <v>4.9000000000000004</v>
      </c>
      <c r="E77">
        <v>0.9</v>
      </c>
    </row>
    <row r="78" spans="1:5" x14ac:dyDescent="0.25">
      <c r="A78">
        <v>77</v>
      </c>
      <c r="B78">
        <v>0</v>
      </c>
      <c r="C78">
        <v>2.6</v>
      </c>
      <c r="D78">
        <v>4.2</v>
      </c>
      <c r="E78">
        <v>0.7</v>
      </c>
    </row>
    <row r="79" spans="1:5" x14ac:dyDescent="0.25">
      <c r="A79">
        <v>78</v>
      </c>
      <c r="B79">
        <v>21</v>
      </c>
      <c r="C79">
        <v>2.6</v>
      </c>
      <c r="D79">
        <v>5.6</v>
      </c>
      <c r="E79">
        <v>0.8</v>
      </c>
    </row>
    <row r="80" spans="1:5" x14ac:dyDescent="0.25">
      <c r="A80">
        <v>79</v>
      </c>
      <c r="B80">
        <v>0</v>
      </c>
      <c r="C80">
        <v>2.6</v>
      </c>
      <c r="D80">
        <v>3</v>
      </c>
      <c r="E80">
        <v>0.5</v>
      </c>
    </row>
    <row r="81" spans="1:5" x14ac:dyDescent="0.25">
      <c r="A81">
        <v>80</v>
      </c>
      <c r="B81">
        <v>1.2</v>
      </c>
      <c r="C81">
        <v>2.7</v>
      </c>
      <c r="D81">
        <v>3.6</v>
      </c>
      <c r="E81">
        <v>0.4</v>
      </c>
    </row>
    <row r="82" spans="1:5" x14ac:dyDescent="0.25">
      <c r="A82">
        <v>81</v>
      </c>
      <c r="B82">
        <v>0</v>
      </c>
      <c r="C82">
        <v>2.7</v>
      </c>
      <c r="D82">
        <v>1.8</v>
      </c>
      <c r="E82">
        <v>0.2</v>
      </c>
    </row>
    <row r="83" spans="1:5" x14ac:dyDescent="0.25">
      <c r="A83">
        <v>82</v>
      </c>
      <c r="B83">
        <v>3</v>
      </c>
      <c r="C83">
        <v>2.7</v>
      </c>
      <c r="D83">
        <v>5.7</v>
      </c>
      <c r="E83">
        <v>0.6</v>
      </c>
    </row>
    <row r="84" spans="1:5" x14ac:dyDescent="0.25">
      <c r="A84">
        <v>83</v>
      </c>
      <c r="B84">
        <v>16.5</v>
      </c>
      <c r="C84">
        <v>2.8</v>
      </c>
      <c r="D84">
        <v>5.0999999999999996</v>
      </c>
      <c r="E84">
        <v>0.4</v>
      </c>
    </row>
    <row r="85" spans="1:5" x14ac:dyDescent="0.25">
      <c r="A85">
        <v>84</v>
      </c>
      <c r="B85">
        <v>8.1999999999999993</v>
      </c>
      <c r="C85">
        <v>2.8</v>
      </c>
      <c r="D85">
        <v>3.2</v>
      </c>
      <c r="E85">
        <v>0.2</v>
      </c>
    </row>
    <row r="86" spans="1:5" x14ac:dyDescent="0.25">
      <c r="A86">
        <v>85</v>
      </c>
      <c r="B86">
        <v>12</v>
      </c>
      <c r="C86">
        <v>2.8</v>
      </c>
      <c r="D86">
        <v>4.3</v>
      </c>
      <c r="E86">
        <v>0.3</v>
      </c>
    </row>
    <row r="87" spans="1:5" x14ac:dyDescent="0.25">
      <c r="A87">
        <v>86</v>
      </c>
      <c r="B87">
        <v>63</v>
      </c>
      <c r="C87">
        <v>2.9</v>
      </c>
      <c r="D87">
        <v>4.9000000000000004</v>
      </c>
      <c r="E87">
        <v>0.2</v>
      </c>
    </row>
    <row r="88" spans="1:5" x14ac:dyDescent="0.25">
      <c r="A88">
        <v>87</v>
      </c>
      <c r="B88">
        <v>11.1</v>
      </c>
      <c r="C88">
        <v>2.9</v>
      </c>
      <c r="D88">
        <v>5.4</v>
      </c>
      <c r="E88">
        <v>0.2</v>
      </c>
    </row>
    <row r="89" spans="1:5" x14ac:dyDescent="0.25">
      <c r="A89">
        <v>88</v>
      </c>
      <c r="B89">
        <v>0</v>
      </c>
      <c r="C89">
        <v>2.9</v>
      </c>
      <c r="D89">
        <v>2.8</v>
      </c>
      <c r="E89">
        <v>0.1</v>
      </c>
    </row>
    <row r="90" spans="1:5" x14ac:dyDescent="0.25">
      <c r="A90">
        <v>89</v>
      </c>
      <c r="B90">
        <v>0.6</v>
      </c>
      <c r="C90">
        <v>3</v>
      </c>
      <c r="D90">
        <v>2.8</v>
      </c>
      <c r="E90">
        <v>0</v>
      </c>
    </row>
    <row r="91" spans="1:5" x14ac:dyDescent="0.25">
      <c r="A91">
        <v>90</v>
      </c>
      <c r="B91">
        <v>0</v>
      </c>
      <c r="C91">
        <v>3</v>
      </c>
      <c r="D91">
        <v>5</v>
      </c>
      <c r="E91">
        <v>0</v>
      </c>
    </row>
    <row r="92" spans="1:5" x14ac:dyDescent="0.25">
      <c r="A92">
        <v>91</v>
      </c>
      <c r="B92">
        <v>0</v>
      </c>
      <c r="C92">
        <v>3</v>
      </c>
      <c r="D92">
        <v>3.9</v>
      </c>
      <c r="E92">
        <v>0</v>
      </c>
    </row>
    <row r="93" spans="1:5" x14ac:dyDescent="0.25">
      <c r="A93">
        <v>92</v>
      </c>
      <c r="B93">
        <v>7</v>
      </c>
      <c r="C93">
        <v>3</v>
      </c>
      <c r="D93">
        <v>5.5</v>
      </c>
      <c r="E93">
        <v>0</v>
      </c>
    </row>
    <row r="94" spans="1:5" x14ac:dyDescent="0.25">
      <c r="A94">
        <v>93</v>
      </c>
      <c r="B94">
        <v>3.5</v>
      </c>
      <c r="C94">
        <v>3</v>
      </c>
      <c r="D94">
        <v>4.7</v>
      </c>
      <c r="E94">
        <v>0</v>
      </c>
    </row>
    <row r="95" spans="1:5" x14ac:dyDescent="0.25">
      <c r="A95">
        <v>94</v>
      </c>
      <c r="B95">
        <v>5</v>
      </c>
      <c r="C95">
        <v>3</v>
      </c>
      <c r="D95">
        <v>3.8</v>
      </c>
      <c r="E95">
        <v>0</v>
      </c>
    </row>
    <row r="96" spans="1:5" x14ac:dyDescent="0.25">
      <c r="A96">
        <v>95</v>
      </c>
      <c r="B96">
        <v>0</v>
      </c>
      <c r="C96">
        <v>3</v>
      </c>
      <c r="D96">
        <v>4.8</v>
      </c>
      <c r="E96">
        <v>0</v>
      </c>
    </row>
    <row r="97" spans="1:5" x14ac:dyDescent="0.25">
      <c r="A97">
        <v>96</v>
      </c>
      <c r="B97">
        <v>52.2</v>
      </c>
      <c r="C97">
        <v>3</v>
      </c>
      <c r="D97">
        <v>4.3</v>
      </c>
      <c r="E97">
        <v>0</v>
      </c>
    </row>
    <row r="98" spans="1:5" x14ac:dyDescent="0.25">
      <c r="A98">
        <v>97</v>
      </c>
      <c r="B98">
        <v>0</v>
      </c>
      <c r="C98">
        <v>3</v>
      </c>
      <c r="D98">
        <v>3.8</v>
      </c>
      <c r="E98">
        <v>0</v>
      </c>
    </row>
    <row r="99" spans="1:5" x14ac:dyDescent="0.25">
      <c r="A99">
        <v>98</v>
      </c>
      <c r="B99">
        <v>0</v>
      </c>
      <c r="C99">
        <v>3</v>
      </c>
      <c r="D99">
        <v>2</v>
      </c>
      <c r="E99">
        <v>0</v>
      </c>
    </row>
    <row r="100" spans="1:5" x14ac:dyDescent="0.25">
      <c r="A100">
        <v>99</v>
      </c>
      <c r="B100">
        <v>0</v>
      </c>
      <c r="C100">
        <v>3</v>
      </c>
      <c r="D100">
        <v>3.2</v>
      </c>
      <c r="E100">
        <v>0</v>
      </c>
    </row>
    <row r="101" spans="1:5" x14ac:dyDescent="0.25">
      <c r="A101">
        <v>100</v>
      </c>
      <c r="B101">
        <v>0</v>
      </c>
      <c r="C101">
        <v>3</v>
      </c>
      <c r="D101">
        <v>1.4</v>
      </c>
      <c r="E101">
        <v>0</v>
      </c>
    </row>
    <row r="102" spans="1:5" x14ac:dyDescent="0.25">
      <c r="A102">
        <v>101</v>
      </c>
      <c r="B102">
        <v>24.2</v>
      </c>
      <c r="C102">
        <v>3</v>
      </c>
      <c r="D102">
        <v>8</v>
      </c>
      <c r="E102">
        <v>0</v>
      </c>
    </row>
    <row r="103" spans="1:5" x14ac:dyDescent="0.25">
      <c r="A103">
        <v>102</v>
      </c>
      <c r="B103">
        <v>0</v>
      </c>
      <c r="C103">
        <v>3</v>
      </c>
      <c r="D103">
        <v>5</v>
      </c>
      <c r="E103">
        <v>0</v>
      </c>
    </row>
    <row r="104" spans="1:5" x14ac:dyDescent="0.25">
      <c r="A104">
        <v>103</v>
      </c>
      <c r="B104">
        <v>0</v>
      </c>
      <c r="C104">
        <v>3</v>
      </c>
      <c r="D104">
        <v>4.3</v>
      </c>
      <c r="E104">
        <v>0</v>
      </c>
    </row>
    <row r="105" spans="1:5" x14ac:dyDescent="0.25">
      <c r="A105">
        <v>104</v>
      </c>
      <c r="B105">
        <v>17</v>
      </c>
      <c r="C105">
        <v>3</v>
      </c>
      <c r="D105">
        <v>4</v>
      </c>
      <c r="E105">
        <v>0</v>
      </c>
    </row>
    <row r="106" spans="1:5" x14ac:dyDescent="0.25">
      <c r="A106">
        <v>105</v>
      </c>
      <c r="B106">
        <v>0</v>
      </c>
      <c r="C106">
        <v>3</v>
      </c>
      <c r="D106">
        <v>4</v>
      </c>
      <c r="E106">
        <v>0</v>
      </c>
    </row>
    <row r="107" spans="1:5" x14ac:dyDescent="0.25">
      <c r="A107">
        <v>106</v>
      </c>
      <c r="B107">
        <v>23</v>
      </c>
      <c r="C107">
        <v>3</v>
      </c>
      <c r="D107">
        <v>6</v>
      </c>
      <c r="E107">
        <v>0</v>
      </c>
    </row>
    <row r="108" spans="1:5" x14ac:dyDescent="0.25">
      <c r="A108">
        <v>107</v>
      </c>
      <c r="B108">
        <v>1.1000000000000001</v>
      </c>
      <c r="C108">
        <v>3</v>
      </c>
      <c r="D108">
        <v>2.9</v>
      </c>
      <c r="E108">
        <v>0</v>
      </c>
    </row>
    <row r="109" spans="1:5" x14ac:dyDescent="0.25">
      <c r="A109">
        <v>108</v>
      </c>
      <c r="B109">
        <v>6.4</v>
      </c>
      <c r="C109">
        <v>3</v>
      </c>
      <c r="D109">
        <v>3.4</v>
      </c>
      <c r="E109">
        <v>0</v>
      </c>
    </row>
    <row r="110" spans="1:5" x14ac:dyDescent="0.25">
      <c r="A110">
        <v>109</v>
      </c>
      <c r="B110">
        <v>0</v>
      </c>
      <c r="C110">
        <v>3</v>
      </c>
      <c r="D110">
        <v>4.2</v>
      </c>
      <c r="E110">
        <v>0</v>
      </c>
    </row>
    <row r="111" spans="1:5" x14ac:dyDescent="0.25">
      <c r="A111">
        <v>110</v>
      </c>
      <c r="B111">
        <v>0</v>
      </c>
      <c r="C111">
        <v>3</v>
      </c>
      <c r="D111">
        <v>3.6</v>
      </c>
      <c r="E111">
        <v>0</v>
      </c>
    </row>
    <row r="112" spans="1:5" x14ac:dyDescent="0.25">
      <c r="A112">
        <v>111</v>
      </c>
      <c r="B112">
        <v>0</v>
      </c>
      <c r="C112">
        <v>3</v>
      </c>
      <c r="D112">
        <v>5.5</v>
      </c>
      <c r="E112">
        <v>0</v>
      </c>
    </row>
    <row r="113" spans="1:5" x14ac:dyDescent="0.25">
      <c r="A113">
        <v>112</v>
      </c>
      <c r="B113">
        <v>7.2</v>
      </c>
      <c r="C113">
        <v>3</v>
      </c>
      <c r="D113">
        <v>5.2</v>
      </c>
      <c r="E113">
        <v>0</v>
      </c>
    </row>
    <row r="114" spans="1:5" x14ac:dyDescent="0.25">
      <c r="A114">
        <v>113</v>
      </c>
      <c r="B114">
        <v>14.6</v>
      </c>
      <c r="C114">
        <v>3</v>
      </c>
      <c r="D114">
        <v>6.1</v>
      </c>
      <c r="E114">
        <v>0</v>
      </c>
    </row>
    <row r="115" spans="1:5" x14ac:dyDescent="0.25">
      <c r="A115">
        <v>114</v>
      </c>
      <c r="B115">
        <v>0</v>
      </c>
      <c r="C115">
        <v>3</v>
      </c>
      <c r="D115">
        <v>3.2</v>
      </c>
      <c r="E115">
        <v>0</v>
      </c>
    </row>
    <row r="116" spans="1:5" x14ac:dyDescent="0.25">
      <c r="A116">
        <v>115</v>
      </c>
      <c r="B116">
        <v>0</v>
      </c>
      <c r="C116">
        <v>3</v>
      </c>
      <c r="D116">
        <v>5.4</v>
      </c>
      <c r="E116">
        <v>0</v>
      </c>
    </row>
    <row r="117" spans="1:5" x14ac:dyDescent="0.25">
      <c r="A117">
        <v>116</v>
      </c>
      <c r="B117">
        <v>0</v>
      </c>
      <c r="C117">
        <v>3</v>
      </c>
      <c r="D117">
        <v>5</v>
      </c>
      <c r="E117">
        <v>0</v>
      </c>
    </row>
    <row r="118" spans="1:5" x14ac:dyDescent="0.25">
      <c r="A118">
        <v>117</v>
      </c>
      <c r="B118">
        <v>0</v>
      </c>
      <c r="C118">
        <v>3</v>
      </c>
      <c r="D118">
        <v>4.3</v>
      </c>
      <c r="E118">
        <v>0</v>
      </c>
    </row>
    <row r="119" spans="1:5" x14ac:dyDescent="0.25">
      <c r="A119">
        <v>118</v>
      </c>
      <c r="B119">
        <v>0</v>
      </c>
      <c r="C119">
        <v>3</v>
      </c>
      <c r="D119">
        <v>3.4</v>
      </c>
      <c r="E119">
        <v>0</v>
      </c>
    </row>
    <row r="120" spans="1:5" x14ac:dyDescent="0.25">
      <c r="A120">
        <v>119</v>
      </c>
      <c r="B120">
        <v>0</v>
      </c>
      <c r="C120">
        <v>3</v>
      </c>
      <c r="D120">
        <v>4.5999999999999996</v>
      </c>
      <c r="E120">
        <v>0</v>
      </c>
    </row>
    <row r="121" spans="1:5" x14ac:dyDescent="0.25">
      <c r="A121">
        <v>120</v>
      </c>
      <c r="B121">
        <v>0</v>
      </c>
      <c r="C121">
        <v>3</v>
      </c>
      <c r="D121">
        <v>2.6</v>
      </c>
      <c r="E121">
        <v>0</v>
      </c>
    </row>
    <row r="122" spans="1:5" x14ac:dyDescent="0.25">
      <c r="A122">
        <v>121</v>
      </c>
      <c r="B122">
        <v>0</v>
      </c>
      <c r="C122">
        <v>3</v>
      </c>
      <c r="D122">
        <v>3.8</v>
      </c>
      <c r="E122">
        <v>0</v>
      </c>
    </row>
    <row r="123" spans="1:5" x14ac:dyDescent="0.25">
      <c r="A123">
        <v>122</v>
      </c>
      <c r="B123">
        <v>4.8</v>
      </c>
      <c r="C123">
        <v>3</v>
      </c>
      <c r="D123">
        <v>8.1999999999999993</v>
      </c>
      <c r="E123">
        <v>0</v>
      </c>
    </row>
    <row r="124" spans="1:5" x14ac:dyDescent="0.25">
      <c r="A124">
        <v>123</v>
      </c>
      <c r="B124">
        <v>0</v>
      </c>
      <c r="C124">
        <v>3</v>
      </c>
      <c r="D124">
        <v>4.0999999999999996</v>
      </c>
      <c r="E124">
        <v>0</v>
      </c>
    </row>
    <row r="125" spans="1:5" x14ac:dyDescent="0.25">
      <c r="A125">
        <v>124</v>
      </c>
      <c r="B125">
        <v>0</v>
      </c>
      <c r="C125">
        <v>3</v>
      </c>
      <c r="D125">
        <v>2.8</v>
      </c>
      <c r="E125">
        <v>0</v>
      </c>
    </row>
    <row r="126" spans="1:5" x14ac:dyDescent="0.25">
      <c r="A126">
        <v>125</v>
      </c>
      <c r="B126">
        <v>1.5</v>
      </c>
      <c r="C126">
        <v>3</v>
      </c>
      <c r="D126">
        <v>5.4</v>
      </c>
      <c r="E126">
        <v>0</v>
      </c>
    </row>
    <row r="127" spans="1:5" x14ac:dyDescent="0.25">
      <c r="A127">
        <v>126</v>
      </c>
      <c r="B127">
        <v>0</v>
      </c>
      <c r="C127">
        <v>3</v>
      </c>
      <c r="D127">
        <v>3.1</v>
      </c>
      <c r="E127">
        <v>0</v>
      </c>
    </row>
    <row r="128" spans="1:5" x14ac:dyDescent="0.25">
      <c r="A128">
        <v>127</v>
      </c>
      <c r="B128">
        <v>0</v>
      </c>
      <c r="C128">
        <v>3</v>
      </c>
      <c r="D128">
        <v>4.2</v>
      </c>
      <c r="E128">
        <v>0</v>
      </c>
    </row>
    <row r="129" spans="1:5" x14ac:dyDescent="0.25">
      <c r="A129">
        <v>128</v>
      </c>
      <c r="B129">
        <v>0</v>
      </c>
      <c r="C129">
        <v>3</v>
      </c>
      <c r="D129">
        <v>3.8</v>
      </c>
      <c r="E129">
        <v>0</v>
      </c>
    </row>
    <row r="130" spans="1:5" x14ac:dyDescent="0.25">
      <c r="A130">
        <v>129</v>
      </c>
      <c r="B130">
        <v>0</v>
      </c>
      <c r="C130">
        <v>3</v>
      </c>
      <c r="D130">
        <v>4.3</v>
      </c>
      <c r="E130">
        <v>0</v>
      </c>
    </row>
    <row r="131" spans="1:5" x14ac:dyDescent="0.25">
      <c r="A131">
        <v>130</v>
      </c>
      <c r="B131">
        <v>0</v>
      </c>
      <c r="C131">
        <v>3</v>
      </c>
      <c r="D131">
        <v>2.5</v>
      </c>
      <c r="E131">
        <v>0</v>
      </c>
    </row>
    <row r="132" spans="1:5" x14ac:dyDescent="0.25">
      <c r="A132">
        <v>131</v>
      </c>
      <c r="B132">
        <v>8</v>
      </c>
      <c r="C132">
        <v>3</v>
      </c>
      <c r="D132">
        <v>3.6</v>
      </c>
      <c r="E132">
        <v>0</v>
      </c>
    </row>
    <row r="133" spans="1:5" x14ac:dyDescent="0.25">
      <c r="A133">
        <v>132</v>
      </c>
      <c r="B133">
        <v>6.7</v>
      </c>
      <c r="C133">
        <v>3</v>
      </c>
      <c r="D133">
        <v>3.8</v>
      </c>
      <c r="E133">
        <v>0</v>
      </c>
    </row>
    <row r="134" spans="1:5" x14ac:dyDescent="0.25">
      <c r="A134">
        <v>133</v>
      </c>
      <c r="B134">
        <v>8.6</v>
      </c>
      <c r="C134">
        <v>3</v>
      </c>
      <c r="D134">
        <v>3.7</v>
      </c>
      <c r="E134">
        <v>0</v>
      </c>
    </row>
    <row r="135" spans="1:5" x14ac:dyDescent="0.25">
      <c r="A135">
        <v>134</v>
      </c>
      <c r="B135">
        <v>0</v>
      </c>
      <c r="C135">
        <v>3</v>
      </c>
      <c r="D135">
        <v>3.8</v>
      </c>
      <c r="E135">
        <v>0</v>
      </c>
    </row>
    <row r="136" spans="1:5" x14ac:dyDescent="0.25">
      <c r="A136">
        <v>135</v>
      </c>
      <c r="B136">
        <v>0</v>
      </c>
      <c r="C136">
        <v>3</v>
      </c>
      <c r="D136">
        <v>2.6</v>
      </c>
      <c r="E136">
        <v>0</v>
      </c>
    </row>
    <row r="137" spans="1:5" x14ac:dyDescent="0.25">
      <c r="A137">
        <v>136</v>
      </c>
      <c r="B137">
        <v>0.8</v>
      </c>
      <c r="C137">
        <v>3</v>
      </c>
      <c r="D137">
        <v>4.8</v>
      </c>
      <c r="E137">
        <v>0</v>
      </c>
    </row>
    <row r="138" spans="1:5" x14ac:dyDescent="0.25">
      <c r="A138">
        <v>137</v>
      </c>
      <c r="B138">
        <v>11.8</v>
      </c>
      <c r="C138">
        <v>3</v>
      </c>
      <c r="D138">
        <v>6</v>
      </c>
      <c r="E138">
        <v>0</v>
      </c>
    </row>
    <row r="139" spans="1:5" x14ac:dyDescent="0.25">
      <c r="A139">
        <v>138</v>
      </c>
      <c r="B139">
        <v>14.6</v>
      </c>
      <c r="C139">
        <v>3</v>
      </c>
      <c r="D139">
        <v>6.2</v>
      </c>
      <c r="E139">
        <v>0</v>
      </c>
    </row>
    <row r="140" spans="1:5" x14ac:dyDescent="0.25">
      <c r="A140">
        <v>139</v>
      </c>
      <c r="B140">
        <v>0</v>
      </c>
      <c r="C140">
        <v>3</v>
      </c>
      <c r="D140">
        <v>2.2999999999999998</v>
      </c>
      <c r="E140">
        <v>0</v>
      </c>
    </row>
    <row r="141" spans="1:5" x14ac:dyDescent="0.25">
      <c r="A141">
        <v>140</v>
      </c>
      <c r="B141">
        <v>16.5</v>
      </c>
      <c r="C141">
        <v>3</v>
      </c>
      <c r="D141">
        <v>2.1</v>
      </c>
      <c r="E141">
        <v>0</v>
      </c>
    </row>
    <row r="142" spans="1:5" x14ac:dyDescent="0.25">
      <c r="A142">
        <v>141</v>
      </c>
      <c r="B142">
        <v>0</v>
      </c>
      <c r="C142">
        <v>3</v>
      </c>
      <c r="D142">
        <v>2.7</v>
      </c>
      <c r="E142">
        <v>0</v>
      </c>
    </row>
    <row r="143" spans="1:5" x14ac:dyDescent="0.25">
      <c r="A143">
        <v>142</v>
      </c>
      <c r="B143">
        <v>27.2</v>
      </c>
      <c r="C143">
        <v>3</v>
      </c>
      <c r="D143">
        <v>7.3</v>
      </c>
      <c r="E143">
        <v>0</v>
      </c>
    </row>
    <row r="144" spans="1:5" x14ac:dyDescent="0.25">
      <c r="A144">
        <v>143</v>
      </c>
      <c r="B144">
        <v>7.4</v>
      </c>
      <c r="C144">
        <v>3</v>
      </c>
      <c r="D144">
        <v>6.4</v>
      </c>
      <c r="E144">
        <v>0</v>
      </c>
    </row>
    <row r="145" spans="1:5" x14ac:dyDescent="0.25">
      <c r="A145">
        <v>144</v>
      </c>
      <c r="B145">
        <v>66.2</v>
      </c>
      <c r="C145">
        <v>3</v>
      </c>
      <c r="D145">
        <v>4.5999999999999996</v>
      </c>
      <c r="E145">
        <v>0</v>
      </c>
    </row>
    <row r="146" spans="1:5" x14ac:dyDescent="0.25">
      <c r="A146">
        <v>145</v>
      </c>
      <c r="B146">
        <v>0</v>
      </c>
      <c r="C146">
        <v>3</v>
      </c>
      <c r="D146">
        <v>2.8</v>
      </c>
      <c r="E146">
        <v>0</v>
      </c>
    </row>
    <row r="147" spans="1:5" x14ac:dyDescent="0.25">
      <c r="A147">
        <v>146</v>
      </c>
      <c r="B147">
        <v>0</v>
      </c>
      <c r="C147">
        <v>3</v>
      </c>
      <c r="D147">
        <v>3.5</v>
      </c>
      <c r="E147">
        <v>0</v>
      </c>
    </row>
    <row r="148" spans="1:5" x14ac:dyDescent="0.25">
      <c r="A148">
        <v>147</v>
      </c>
      <c r="B148">
        <v>0</v>
      </c>
      <c r="C148">
        <v>3</v>
      </c>
      <c r="D148">
        <v>4</v>
      </c>
      <c r="E148">
        <v>0</v>
      </c>
    </row>
    <row r="149" spans="1:5" x14ac:dyDescent="0.25">
      <c r="A149">
        <v>148</v>
      </c>
      <c r="B149">
        <v>0</v>
      </c>
      <c r="C149">
        <v>3</v>
      </c>
      <c r="D149">
        <v>5.5</v>
      </c>
      <c r="E149">
        <v>0</v>
      </c>
    </row>
    <row r="150" spans="1:5" x14ac:dyDescent="0.25">
      <c r="A150">
        <v>149</v>
      </c>
      <c r="B150">
        <v>27.3</v>
      </c>
      <c r="C150">
        <v>3</v>
      </c>
      <c r="D150">
        <v>5</v>
      </c>
      <c r="E150">
        <v>0</v>
      </c>
    </row>
    <row r="151" spans="1:5" x14ac:dyDescent="0.25">
      <c r="A151">
        <v>150</v>
      </c>
      <c r="B151">
        <v>0</v>
      </c>
      <c r="C151">
        <v>3</v>
      </c>
      <c r="D151">
        <v>5.6</v>
      </c>
      <c r="E151">
        <v>0</v>
      </c>
    </row>
    <row r="152" spans="1:5" x14ac:dyDescent="0.25">
      <c r="A152">
        <v>151</v>
      </c>
      <c r="B152">
        <v>0</v>
      </c>
      <c r="C152">
        <v>3</v>
      </c>
      <c r="D152">
        <v>5.9</v>
      </c>
      <c r="E152">
        <v>0</v>
      </c>
    </row>
    <row r="153" spans="1:5" x14ac:dyDescent="0.25">
      <c r="A153">
        <v>152</v>
      </c>
      <c r="B153">
        <v>0</v>
      </c>
      <c r="C153">
        <v>3</v>
      </c>
      <c r="D153">
        <v>3.8</v>
      </c>
      <c r="E153">
        <v>0</v>
      </c>
    </row>
    <row r="154" spans="1:5" x14ac:dyDescent="0.25">
      <c r="A154">
        <v>153</v>
      </c>
      <c r="B154">
        <v>0</v>
      </c>
      <c r="C154">
        <v>3</v>
      </c>
      <c r="D154">
        <v>4.3</v>
      </c>
      <c r="E154">
        <v>0</v>
      </c>
    </row>
    <row r="155" spans="1:5" x14ac:dyDescent="0.25">
      <c r="A155">
        <v>154</v>
      </c>
      <c r="B155">
        <v>0</v>
      </c>
      <c r="C155">
        <v>3</v>
      </c>
      <c r="D155">
        <v>4</v>
      </c>
      <c r="E155">
        <v>0</v>
      </c>
    </row>
    <row r="156" spans="1:5" x14ac:dyDescent="0.25">
      <c r="A156">
        <v>155</v>
      </c>
      <c r="B156">
        <v>0</v>
      </c>
      <c r="C156">
        <v>3</v>
      </c>
      <c r="D156">
        <v>2.8</v>
      </c>
      <c r="E156">
        <v>0</v>
      </c>
    </row>
    <row r="157" spans="1:5" x14ac:dyDescent="0.25">
      <c r="A157">
        <v>156</v>
      </c>
      <c r="B157">
        <v>0</v>
      </c>
      <c r="C157">
        <v>3</v>
      </c>
      <c r="D157">
        <v>5</v>
      </c>
      <c r="E157">
        <v>0</v>
      </c>
    </row>
    <row r="158" spans="1:5" x14ac:dyDescent="0.25">
      <c r="A158">
        <v>157</v>
      </c>
      <c r="B158">
        <v>0</v>
      </c>
      <c r="C158">
        <v>3</v>
      </c>
      <c r="D158">
        <v>4.7</v>
      </c>
      <c r="E158">
        <v>0</v>
      </c>
    </row>
    <row r="159" spans="1:5" x14ac:dyDescent="0.25">
      <c r="A159">
        <v>158</v>
      </c>
      <c r="B159">
        <v>0</v>
      </c>
      <c r="C159">
        <v>3</v>
      </c>
      <c r="D159">
        <v>3.7</v>
      </c>
      <c r="E159">
        <v>0</v>
      </c>
    </row>
    <row r="160" spans="1:5" x14ac:dyDescent="0.25">
      <c r="A160">
        <v>159</v>
      </c>
      <c r="B160">
        <v>0</v>
      </c>
      <c r="C160">
        <v>3</v>
      </c>
      <c r="D160">
        <v>6.7</v>
      </c>
      <c r="E160">
        <v>0</v>
      </c>
    </row>
    <row r="161" spans="1:5" x14ac:dyDescent="0.25">
      <c r="A161">
        <v>160</v>
      </c>
      <c r="B161">
        <v>0</v>
      </c>
      <c r="C161">
        <v>3</v>
      </c>
      <c r="D161">
        <v>3.3</v>
      </c>
      <c r="E161">
        <v>0</v>
      </c>
    </row>
    <row r="162" spans="1:5" x14ac:dyDescent="0.25">
      <c r="A162">
        <v>161</v>
      </c>
      <c r="B162">
        <v>0</v>
      </c>
      <c r="C162">
        <v>3</v>
      </c>
      <c r="D162">
        <v>4.4000000000000004</v>
      </c>
      <c r="E162">
        <v>0</v>
      </c>
    </row>
    <row r="163" spans="1:5" x14ac:dyDescent="0.25">
      <c r="A163">
        <v>162</v>
      </c>
      <c r="B163">
        <v>2.6</v>
      </c>
      <c r="C163">
        <v>3</v>
      </c>
      <c r="D163">
        <v>3.2</v>
      </c>
      <c r="E163">
        <v>0</v>
      </c>
    </row>
    <row r="164" spans="1:5" x14ac:dyDescent="0.25">
      <c r="A164">
        <v>163</v>
      </c>
      <c r="B164">
        <v>0</v>
      </c>
      <c r="C164">
        <v>3</v>
      </c>
      <c r="D164">
        <v>4.9000000000000004</v>
      </c>
      <c r="E164">
        <v>0</v>
      </c>
    </row>
    <row r="165" spans="1:5" x14ac:dyDescent="0.25">
      <c r="A165">
        <v>164</v>
      </c>
      <c r="B165">
        <v>0</v>
      </c>
      <c r="C165">
        <v>3</v>
      </c>
      <c r="D165">
        <v>4.5999999999999996</v>
      </c>
      <c r="E165">
        <v>0</v>
      </c>
    </row>
    <row r="166" spans="1:5" x14ac:dyDescent="0.25">
      <c r="A166">
        <v>165</v>
      </c>
      <c r="B166">
        <v>0</v>
      </c>
      <c r="C166">
        <v>3</v>
      </c>
      <c r="D166">
        <v>3.4</v>
      </c>
      <c r="E166">
        <v>0</v>
      </c>
    </row>
    <row r="167" spans="1:5" x14ac:dyDescent="0.25">
      <c r="A167">
        <v>166</v>
      </c>
      <c r="B167">
        <v>18.5</v>
      </c>
      <c r="C167">
        <v>3</v>
      </c>
      <c r="D167">
        <v>5.4</v>
      </c>
      <c r="E167">
        <v>0</v>
      </c>
    </row>
    <row r="168" spans="1:5" x14ac:dyDescent="0.25">
      <c r="A168">
        <v>167</v>
      </c>
      <c r="B168">
        <v>0</v>
      </c>
      <c r="C168">
        <v>3</v>
      </c>
      <c r="D168">
        <v>2.9</v>
      </c>
      <c r="E168">
        <v>0</v>
      </c>
    </row>
    <row r="169" spans="1:5" x14ac:dyDescent="0.25">
      <c r="A169">
        <v>168</v>
      </c>
      <c r="B169">
        <v>0</v>
      </c>
      <c r="C169">
        <v>3</v>
      </c>
      <c r="D169">
        <v>6.3</v>
      </c>
      <c r="E169">
        <v>0</v>
      </c>
    </row>
    <row r="170" spans="1:5" x14ac:dyDescent="0.25">
      <c r="A170">
        <v>169</v>
      </c>
      <c r="B170">
        <v>0</v>
      </c>
      <c r="C170">
        <v>3</v>
      </c>
      <c r="D170">
        <v>1.5</v>
      </c>
      <c r="E170">
        <v>0</v>
      </c>
    </row>
    <row r="171" spans="1:5" x14ac:dyDescent="0.25">
      <c r="A171">
        <v>170</v>
      </c>
      <c r="B171">
        <v>0</v>
      </c>
      <c r="C171">
        <v>3</v>
      </c>
      <c r="D171">
        <v>6.5</v>
      </c>
      <c r="E171">
        <v>0</v>
      </c>
    </row>
    <row r="172" spans="1:5" x14ac:dyDescent="0.25">
      <c r="A172">
        <v>171</v>
      </c>
      <c r="B172">
        <v>0</v>
      </c>
      <c r="C172">
        <v>3</v>
      </c>
      <c r="D172">
        <v>4.7</v>
      </c>
      <c r="E172">
        <v>0</v>
      </c>
    </row>
    <row r="173" spans="1:5" x14ac:dyDescent="0.25">
      <c r="A173">
        <v>172</v>
      </c>
      <c r="B173">
        <v>0</v>
      </c>
      <c r="C173">
        <v>3</v>
      </c>
      <c r="D173">
        <v>5.8</v>
      </c>
      <c r="E173">
        <v>0</v>
      </c>
    </row>
    <row r="174" spans="1:5" x14ac:dyDescent="0.25">
      <c r="A174">
        <v>173</v>
      </c>
      <c r="B174">
        <v>0</v>
      </c>
      <c r="C174">
        <v>3</v>
      </c>
      <c r="D174">
        <v>5</v>
      </c>
      <c r="E174">
        <v>0</v>
      </c>
    </row>
    <row r="175" spans="1:5" x14ac:dyDescent="0.25">
      <c r="A175">
        <v>174</v>
      </c>
      <c r="B175">
        <v>0</v>
      </c>
      <c r="C175">
        <v>3</v>
      </c>
      <c r="D175">
        <v>5.5</v>
      </c>
      <c r="E175">
        <v>0</v>
      </c>
    </row>
    <row r="176" spans="1:5" x14ac:dyDescent="0.25">
      <c r="A176">
        <v>175</v>
      </c>
      <c r="B176">
        <v>0</v>
      </c>
      <c r="C176">
        <v>3</v>
      </c>
      <c r="D176">
        <v>5.9</v>
      </c>
      <c r="E176">
        <v>0</v>
      </c>
    </row>
    <row r="177" spans="1:5" x14ac:dyDescent="0.25">
      <c r="A177">
        <v>176</v>
      </c>
      <c r="B177">
        <v>0</v>
      </c>
      <c r="C177">
        <v>3</v>
      </c>
      <c r="D177">
        <v>5.7</v>
      </c>
      <c r="E177">
        <v>0</v>
      </c>
    </row>
    <row r="178" spans="1:5" x14ac:dyDescent="0.25">
      <c r="A178">
        <v>177</v>
      </c>
      <c r="B178">
        <v>0</v>
      </c>
      <c r="C178">
        <v>3</v>
      </c>
      <c r="D178">
        <v>4.7</v>
      </c>
      <c r="E178">
        <v>0</v>
      </c>
    </row>
    <row r="179" spans="1:5" x14ac:dyDescent="0.25">
      <c r="A179">
        <v>178</v>
      </c>
      <c r="B179">
        <v>0</v>
      </c>
      <c r="C179">
        <v>3</v>
      </c>
      <c r="D179">
        <v>5.9</v>
      </c>
      <c r="E179">
        <v>0</v>
      </c>
    </row>
    <row r="180" spans="1:5" x14ac:dyDescent="0.25">
      <c r="A180">
        <v>179</v>
      </c>
      <c r="B180">
        <v>0</v>
      </c>
      <c r="C180">
        <v>3</v>
      </c>
      <c r="D180">
        <v>5.9</v>
      </c>
      <c r="E180">
        <v>0</v>
      </c>
    </row>
    <row r="181" spans="1:5" x14ac:dyDescent="0.25">
      <c r="A181">
        <v>180</v>
      </c>
      <c r="B181">
        <v>0</v>
      </c>
      <c r="C181">
        <v>3</v>
      </c>
      <c r="D181">
        <v>4.8</v>
      </c>
      <c r="E181">
        <v>0</v>
      </c>
    </row>
    <row r="182" spans="1:5" x14ac:dyDescent="0.25">
      <c r="A182">
        <v>181</v>
      </c>
      <c r="B182">
        <v>0</v>
      </c>
      <c r="C182">
        <v>3</v>
      </c>
      <c r="D182">
        <v>2.1</v>
      </c>
      <c r="E182">
        <v>0</v>
      </c>
    </row>
    <row r="183" spans="1:5" x14ac:dyDescent="0.25">
      <c r="A183">
        <v>182</v>
      </c>
      <c r="B183">
        <v>0</v>
      </c>
      <c r="C183">
        <v>3</v>
      </c>
      <c r="D183">
        <v>4.3</v>
      </c>
      <c r="E183">
        <v>0</v>
      </c>
    </row>
    <row r="184" spans="1:5" x14ac:dyDescent="0.25">
      <c r="A184">
        <v>183</v>
      </c>
      <c r="B184">
        <v>0</v>
      </c>
      <c r="C184">
        <v>3</v>
      </c>
      <c r="D184">
        <v>5.7</v>
      </c>
      <c r="E184">
        <v>0</v>
      </c>
    </row>
    <row r="185" spans="1:5" x14ac:dyDescent="0.25">
      <c r="A185">
        <v>184</v>
      </c>
      <c r="B185">
        <v>0</v>
      </c>
      <c r="C185">
        <v>3</v>
      </c>
      <c r="D185">
        <v>3.5</v>
      </c>
      <c r="E185">
        <v>0</v>
      </c>
    </row>
    <row r="186" spans="1:5" x14ac:dyDescent="0.25">
      <c r="A186">
        <v>185</v>
      </c>
      <c r="B186">
        <v>0</v>
      </c>
      <c r="C186">
        <v>3</v>
      </c>
      <c r="D186">
        <v>6.2</v>
      </c>
      <c r="E186">
        <v>0</v>
      </c>
    </row>
    <row r="187" spans="1:5" x14ac:dyDescent="0.25">
      <c r="A187">
        <v>186</v>
      </c>
      <c r="B187">
        <v>0</v>
      </c>
      <c r="C187">
        <v>3</v>
      </c>
      <c r="D187">
        <v>3</v>
      </c>
      <c r="E187">
        <v>0</v>
      </c>
    </row>
    <row r="188" spans="1:5" x14ac:dyDescent="0.25">
      <c r="A188">
        <v>187</v>
      </c>
      <c r="B188">
        <v>0</v>
      </c>
      <c r="C188">
        <v>3</v>
      </c>
      <c r="D188">
        <v>3.4</v>
      </c>
      <c r="E188">
        <v>0</v>
      </c>
    </row>
    <row r="189" spans="1:5" x14ac:dyDescent="0.25">
      <c r="A189">
        <v>188</v>
      </c>
      <c r="B189">
        <v>0</v>
      </c>
      <c r="C189">
        <v>3</v>
      </c>
      <c r="D189">
        <v>5.5</v>
      </c>
      <c r="E189">
        <v>0</v>
      </c>
    </row>
    <row r="190" spans="1:5" x14ac:dyDescent="0.25">
      <c r="A190">
        <v>189</v>
      </c>
      <c r="B190">
        <v>48.5</v>
      </c>
      <c r="C190">
        <v>3</v>
      </c>
      <c r="D190">
        <v>3.5</v>
      </c>
      <c r="E190">
        <v>0</v>
      </c>
    </row>
    <row r="191" spans="1:5" x14ac:dyDescent="0.25">
      <c r="A191">
        <v>190</v>
      </c>
      <c r="B191">
        <v>0</v>
      </c>
      <c r="C191">
        <v>3</v>
      </c>
      <c r="D191">
        <v>1.5</v>
      </c>
      <c r="E191">
        <v>0</v>
      </c>
    </row>
    <row r="192" spans="1:5" x14ac:dyDescent="0.25">
      <c r="A192">
        <v>191</v>
      </c>
      <c r="B192">
        <v>0</v>
      </c>
      <c r="C192">
        <v>3</v>
      </c>
      <c r="D192">
        <v>9.6</v>
      </c>
      <c r="E192">
        <v>0</v>
      </c>
    </row>
    <row r="193" spans="1:5" x14ac:dyDescent="0.25">
      <c r="A193">
        <v>192</v>
      </c>
      <c r="B193">
        <v>0</v>
      </c>
      <c r="C193">
        <v>3</v>
      </c>
      <c r="D193">
        <v>4</v>
      </c>
      <c r="E193">
        <v>0</v>
      </c>
    </row>
    <row r="194" spans="1:5" x14ac:dyDescent="0.25">
      <c r="A194">
        <v>193</v>
      </c>
      <c r="B194">
        <v>3.6</v>
      </c>
      <c r="C194">
        <v>3</v>
      </c>
      <c r="D194">
        <v>2.6</v>
      </c>
      <c r="E194">
        <v>0</v>
      </c>
    </row>
    <row r="195" spans="1:5" x14ac:dyDescent="0.25">
      <c r="A195">
        <v>194</v>
      </c>
      <c r="B195">
        <v>0</v>
      </c>
      <c r="C195">
        <v>3</v>
      </c>
      <c r="D195">
        <v>4.2</v>
      </c>
      <c r="E195">
        <v>0</v>
      </c>
    </row>
    <row r="196" spans="1:5" x14ac:dyDescent="0.25">
      <c r="A196">
        <v>195</v>
      </c>
      <c r="B196">
        <v>0</v>
      </c>
      <c r="C196">
        <v>3</v>
      </c>
      <c r="D196">
        <v>4.4000000000000004</v>
      </c>
      <c r="E196">
        <v>0</v>
      </c>
    </row>
    <row r="197" spans="1:5" x14ac:dyDescent="0.25">
      <c r="A197">
        <v>196</v>
      </c>
      <c r="B197">
        <v>10.4</v>
      </c>
      <c r="C197">
        <v>3</v>
      </c>
      <c r="D197">
        <v>3.6</v>
      </c>
      <c r="E197">
        <v>0</v>
      </c>
    </row>
    <row r="198" spans="1:5" x14ac:dyDescent="0.25">
      <c r="A198">
        <v>197</v>
      </c>
      <c r="B198">
        <v>0</v>
      </c>
      <c r="C198">
        <v>3</v>
      </c>
      <c r="D198">
        <v>3.9</v>
      </c>
      <c r="E198">
        <v>0</v>
      </c>
    </row>
    <row r="199" spans="1:5" x14ac:dyDescent="0.25">
      <c r="A199">
        <v>198</v>
      </c>
      <c r="B199">
        <v>5.8</v>
      </c>
      <c r="C199">
        <v>3</v>
      </c>
      <c r="D199">
        <v>3.7</v>
      </c>
      <c r="E199">
        <v>0</v>
      </c>
    </row>
    <row r="200" spans="1:5" x14ac:dyDescent="0.25">
      <c r="A200">
        <v>199</v>
      </c>
      <c r="B200">
        <v>0</v>
      </c>
      <c r="C200">
        <v>3</v>
      </c>
      <c r="D200">
        <v>4.4000000000000004</v>
      </c>
      <c r="E200">
        <v>0</v>
      </c>
    </row>
    <row r="201" spans="1:5" x14ac:dyDescent="0.25">
      <c r="A201">
        <v>200</v>
      </c>
      <c r="B201">
        <v>0</v>
      </c>
      <c r="C201">
        <v>3</v>
      </c>
      <c r="D201">
        <v>5.8</v>
      </c>
      <c r="E201">
        <v>0</v>
      </c>
    </row>
    <row r="202" spans="1:5" x14ac:dyDescent="0.25">
      <c r="A202">
        <v>201</v>
      </c>
      <c r="B202">
        <v>0</v>
      </c>
      <c r="C202">
        <v>3</v>
      </c>
      <c r="D202">
        <v>5.8</v>
      </c>
      <c r="E202">
        <v>0</v>
      </c>
    </row>
    <row r="203" spans="1:5" x14ac:dyDescent="0.25">
      <c r="A203">
        <v>202</v>
      </c>
      <c r="B203">
        <v>0</v>
      </c>
      <c r="C203">
        <v>3</v>
      </c>
      <c r="D203">
        <v>4.8</v>
      </c>
      <c r="E203">
        <v>0</v>
      </c>
    </row>
    <row r="204" spans="1:5" x14ac:dyDescent="0.25">
      <c r="A204">
        <v>203</v>
      </c>
      <c r="B204">
        <v>54.4</v>
      </c>
      <c r="C204">
        <v>3</v>
      </c>
      <c r="D204">
        <v>4.9000000000000004</v>
      </c>
      <c r="E204">
        <v>0</v>
      </c>
    </row>
    <row r="205" spans="1:5" x14ac:dyDescent="0.25">
      <c r="A205">
        <v>204</v>
      </c>
      <c r="B205">
        <v>0</v>
      </c>
      <c r="C205">
        <v>3</v>
      </c>
      <c r="D205">
        <v>4.9000000000000004</v>
      </c>
      <c r="E205">
        <v>0</v>
      </c>
    </row>
    <row r="206" spans="1:5" x14ac:dyDescent="0.25">
      <c r="A206">
        <v>205</v>
      </c>
      <c r="B206">
        <v>18.7</v>
      </c>
      <c r="C206">
        <v>3</v>
      </c>
      <c r="D206">
        <v>7.4</v>
      </c>
      <c r="E206">
        <v>0</v>
      </c>
    </row>
    <row r="207" spans="1:5" x14ac:dyDescent="0.25">
      <c r="A207">
        <v>206</v>
      </c>
      <c r="B207">
        <v>0</v>
      </c>
      <c r="C207">
        <v>3</v>
      </c>
      <c r="D207">
        <v>3.9</v>
      </c>
      <c r="E207">
        <v>0</v>
      </c>
    </row>
    <row r="208" spans="1:5" x14ac:dyDescent="0.25">
      <c r="A208">
        <v>207</v>
      </c>
      <c r="B208">
        <v>4.2</v>
      </c>
      <c r="C208">
        <v>3</v>
      </c>
      <c r="D208">
        <v>3.1</v>
      </c>
      <c r="E208">
        <v>0</v>
      </c>
    </row>
    <row r="209" spans="1:5" x14ac:dyDescent="0.25">
      <c r="A209">
        <v>208</v>
      </c>
      <c r="B209">
        <v>0</v>
      </c>
      <c r="C209">
        <v>3</v>
      </c>
      <c r="D209">
        <v>3.9</v>
      </c>
      <c r="E209">
        <v>0</v>
      </c>
    </row>
    <row r="210" spans="1:5" x14ac:dyDescent="0.25">
      <c r="A210">
        <v>209</v>
      </c>
      <c r="B210">
        <v>19.100000000000001</v>
      </c>
      <c r="C210">
        <v>3</v>
      </c>
      <c r="D210">
        <v>6.4</v>
      </c>
      <c r="E210">
        <v>0</v>
      </c>
    </row>
    <row r="211" spans="1:5" x14ac:dyDescent="0.25">
      <c r="A211">
        <v>210</v>
      </c>
      <c r="B211">
        <v>0</v>
      </c>
      <c r="C211">
        <v>3</v>
      </c>
      <c r="D211">
        <v>4</v>
      </c>
      <c r="E211">
        <v>0</v>
      </c>
    </row>
    <row r="212" spans="1:5" x14ac:dyDescent="0.25">
      <c r="A212">
        <v>211</v>
      </c>
      <c r="B212">
        <v>0</v>
      </c>
      <c r="C212">
        <v>3</v>
      </c>
      <c r="D212">
        <v>2.8</v>
      </c>
      <c r="E212">
        <v>0</v>
      </c>
    </row>
    <row r="213" spans="1:5" x14ac:dyDescent="0.25">
      <c r="A213">
        <v>212</v>
      </c>
      <c r="B213">
        <v>0</v>
      </c>
      <c r="C213">
        <v>3</v>
      </c>
      <c r="D213">
        <v>4.5999999999999996</v>
      </c>
      <c r="E213">
        <v>0</v>
      </c>
    </row>
    <row r="214" spans="1:5" x14ac:dyDescent="0.25">
      <c r="A214">
        <v>213</v>
      </c>
      <c r="B214">
        <v>4.5999999999999996</v>
      </c>
      <c r="C214">
        <v>3</v>
      </c>
      <c r="D214">
        <v>4.2</v>
      </c>
      <c r="E214">
        <v>0</v>
      </c>
    </row>
    <row r="215" spans="1:5" x14ac:dyDescent="0.25">
      <c r="A215">
        <v>214</v>
      </c>
      <c r="B215">
        <v>0</v>
      </c>
      <c r="C215">
        <v>3</v>
      </c>
      <c r="D215">
        <v>8.9</v>
      </c>
      <c r="E215">
        <v>0</v>
      </c>
    </row>
    <row r="216" spans="1:5" x14ac:dyDescent="0.25">
      <c r="A216">
        <v>215</v>
      </c>
      <c r="B216">
        <v>0</v>
      </c>
      <c r="C216">
        <v>3</v>
      </c>
      <c r="D216">
        <v>2.7</v>
      </c>
      <c r="E216">
        <v>0</v>
      </c>
    </row>
    <row r="217" spans="1:5" x14ac:dyDescent="0.25">
      <c r="A217">
        <v>216</v>
      </c>
      <c r="B217">
        <v>0</v>
      </c>
      <c r="C217">
        <v>3</v>
      </c>
      <c r="D217">
        <v>4</v>
      </c>
      <c r="E217">
        <v>0</v>
      </c>
    </row>
    <row r="218" spans="1:5" x14ac:dyDescent="0.25">
      <c r="A218">
        <v>217</v>
      </c>
      <c r="B218">
        <v>0</v>
      </c>
      <c r="C218">
        <v>3</v>
      </c>
      <c r="D218">
        <v>5.2</v>
      </c>
      <c r="E218">
        <v>0</v>
      </c>
    </row>
    <row r="219" spans="1:5" x14ac:dyDescent="0.25">
      <c r="A219">
        <v>218</v>
      </c>
      <c r="B219">
        <v>0</v>
      </c>
      <c r="C219">
        <v>3</v>
      </c>
      <c r="D219">
        <v>4.2</v>
      </c>
      <c r="E219">
        <v>0</v>
      </c>
    </row>
    <row r="220" spans="1:5" x14ac:dyDescent="0.25">
      <c r="A220">
        <v>219</v>
      </c>
      <c r="B220">
        <v>0</v>
      </c>
      <c r="C220">
        <v>3</v>
      </c>
      <c r="D220">
        <v>3.7</v>
      </c>
      <c r="E220">
        <v>0</v>
      </c>
    </row>
    <row r="221" spans="1:5" x14ac:dyDescent="0.25">
      <c r="A221">
        <v>220</v>
      </c>
      <c r="B221">
        <v>0.5</v>
      </c>
      <c r="C221">
        <v>3</v>
      </c>
      <c r="D221">
        <v>5.2</v>
      </c>
      <c r="E221">
        <v>0</v>
      </c>
    </row>
    <row r="222" spans="1:5" x14ac:dyDescent="0.25">
      <c r="A222">
        <v>221</v>
      </c>
      <c r="B222">
        <v>0.9</v>
      </c>
      <c r="C222">
        <v>3</v>
      </c>
      <c r="D222">
        <v>4.8</v>
      </c>
      <c r="E222">
        <v>0</v>
      </c>
    </row>
    <row r="223" spans="1:5" x14ac:dyDescent="0.25">
      <c r="A223">
        <v>222</v>
      </c>
      <c r="B223">
        <v>0</v>
      </c>
      <c r="C223">
        <v>3</v>
      </c>
      <c r="D223">
        <v>5.7</v>
      </c>
      <c r="E223">
        <v>0</v>
      </c>
    </row>
    <row r="224" spans="1:5" x14ac:dyDescent="0.25">
      <c r="A224">
        <v>223</v>
      </c>
      <c r="B224">
        <v>0</v>
      </c>
      <c r="C224">
        <v>3</v>
      </c>
      <c r="D224">
        <v>6</v>
      </c>
      <c r="E224">
        <v>0</v>
      </c>
    </row>
    <row r="225" spans="1:5" x14ac:dyDescent="0.25">
      <c r="A225">
        <v>224</v>
      </c>
      <c r="B225">
        <v>0</v>
      </c>
      <c r="C225">
        <v>3</v>
      </c>
      <c r="D225">
        <v>5.5</v>
      </c>
      <c r="E225">
        <v>0</v>
      </c>
    </row>
    <row r="226" spans="1:5" x14ac:dyDescent="0.25">
      <c r="A226">
        <v>225</v>
      </c>
      <c r="B226">
        <v>0</v>
      </c>
      <c r="C226">
        <v>3</v>
      </c>
      <c r="D226">
        <v>4.3</v>
      </c>
      <c r="E226">
        <v>0</v>
      </c>
    </row>
    <row r="227" spans="1:5" x14ac:dyDescent="0.25">
      <c r="A227">
        <v>226</v>
      </c>
      <c r="B227">
        <v>0</v>
      </c>
      <c r="C227">
        <v>3</v>
      </c>
      <c r="D227">
        <v>3.1</v>
      </c>
      <c r="E227">
        <v>0</v>
      </c>
    </row>
    <row r="228" spans="1:5" x14ac:dyDescent="0.25">
      <c r="A228">
        <v>227</v>
      </c>
      <c r="B228">
        <v>0</v>
      </c>
      <c r="C228">
        <v>3</v>
      </c>
      <c r="D228">
        <v>3.2</v>
      </c>
      <c r="E228">
        <v>0</v>
      </c>
    </row>
    <row r="229" spans="1:5" x14ac:dyDescent="0.25">
      <c r="A229">
        <v>228</v>
      </c>
      <c r="B229">
        <v>0</v>
      </c>
      <c r="C229">
        <v>3</v>
      </c>
      <c r="D229">
        <v>5.8</v>
      </c>
      <c r="E229">
        <v>0</v>
      </c>
    </row>
    <row r="230" spans="1:5" x14ac:dyDescent="0.25">
      <c r="A230">
        <v>229</v>
      </c>
      <c r="B230">
        <v>0</v>
      </c>
      <c r="C230">
        <v>3</v>
      </c>
      <c r="D230">
        <v>5.6</v>
      </c>
      <c r="E230">
        <v>0</v>
      </c>
    </row>
    <row r="231" spans="1:5" x14ac:dyDescent="0.25">
      <c r="A231">
        <v>230</v>
      </c>
      <c r="B231">
        <v>14.7</v>
      </c>
      <c r="C231">
        <v>3</v>
      </c>
      <c r="D231">
        <v>6.2</v>
      </c>
      <c r="E231">
        <v>0</v>
      </c>
    </row>
    <row r="232" spans="1:5" x14ac:dyDescent="0.25">
      <c r="A232">
        <v>231</v>
      </c>
      <c r="B232">
        <v>0.9</v>
      </c>
      <c r="C232">
        <v>3</v>
      </c>
      <c r="D232">
        <v>3</v>
      </c>
      <c r="E232">
        <v>0</v>
      </c>
    </row>
    <row r="233" spans="1:5" x14ac:dyDescent="0.25">
      <c r="A233">
        <v>232</v>
      </c>
      <c r="B233">
        <v>0</v>
      </c>
      <c r="C233">
        <v>3</v>
      </c>
      <c r="D233">
        <v>5.9</v>
      </c>
      <c r="E233">
        <v>0</v>
      </c>
    </row>
    <row r="234" spans="1:5" x14ac:dyDescent="0.25">
      <c r="A234">
        <v>233</v>
      </c>
      <c r="B234">
        <v>0</v>
      </c>
      <c r="C234">
        <v>3</v>
      </c>
      <c r="D234">
        <v>5.2</v>
      </c>
      <c r="E234">
        <v>0</v>
      </c>
    </row>
    <row r="235" spans="1:5" x14ac:dyDescent="0.25">
      <c r="A235">
        <v>234</v>
      </c>
      <c r="B235">
        <v>0</v>
      </c>
      <c r="C235">
        <v>3</v>
      </c>
      <c r="D235">
        <v>5</v>
      </c>
      <c r="E235">
        <v>0</v>
      </c>
    </row>
    <row r="236" spans="1:5" x14ac:dyDescent="0.25">
      <c r="A236">
        <v>235</v>
      </c>
      <c r="B236">
        <v>0</v>
      </c>
      <c r="C236">
        <v>3</v>
      </c>
      <c r="D236">
        <v>6.4</v>
      </c>
      <c r="E236">
        <v>0</v>
      </c>
    </row>
    <row r="237" spans="1:5" x14ac:dyDescent="0.25">
      <c r="A237">
        <v>236</v>
      </c>
      <c r="B237">
        <v>0</v>
      </c>
      <c r="C237">
        <v>3</v>
      </c>
      <c r="D237">
        <v>4.3</v>
      </c>
      <c r="E237">
        <v>0</v>
      </c>
    </row>
    <row r="238" spans="1:5" x14ac:dyDescent="0.25">
      <c r="A238">
        <v>237</v>
      </c>
      <c r="B238">
        <v>0</v>
      </c>
      <c r="C238">
        <v>3</v>
      </c>
      <c r="D238">
        <v>3</v>
      </c>
      <c r="E238">
        <v>0</v>
      </c>
    </row>
    <row r="239" spans="1:5" x14ac:dyDescent="0.25">
      <c r="A239">
        <v>238</v>
      </c>
      <c r="B239">
        <v>0</v>
      </c>
      <c r="C239">
        <v>3</v>
      </c>
      <c r="D239">
        <v>3.8</v>
      </c>
      <c r="E239">
        <v>0</v>
      </c>
    </row>
    <row r="240" spans="1:5" x14ac:dyDescent="0.25">
      <c r="A240">
        <v>239</v>
      </c>
      <c r="B240">
        <v>0</v>
      </c>
      <c r="C240">
        <v>3</v>
      </c>
      <c r="D240">
        <v>3.9</v>
      </c>
      <c r="E240">
        <v>0</v>
      </c>
    </row>
    <row r="241" spans="1:5" x14ac:dyDescent="0.25">
      <c r="A241">
        <v>240</v>
      </c>
      <c r="B241">
        <v>5.8</v>
      </c>
      <c r="C241">
        <v>3</v>
      </c>
      <c r="D241">
        <v>4</v>
      </c>
      <c r="E241">
        <v>0</v>
      </c>
    </row>
    <row r="242" spans="1:5" x14ac:dyDescent="0.25">
      <c r="A242">
        <v>241</v>
      </c>
      <c r="B242">
        <v>0</v>
      </c>
      <c r="C242">
        <v>3</v>
      </c>
      <c r="D242">
        <v>5</v>
      </c>
      <c r="E242">
        <v>0</v>
      </c>
    </row>
    <row r="243" spans="1:5" x14ac:dyDescent="0.25">
      <c r="A243">
        <v>242</v>
      </c>
      <c r="B243">
        <v>1.2</v>
      </c>
      <c r="C243">
        <v>3</v>
      </c>
      <c r="D243">
        <v>6.6</v>
      </c>
      <c r="E243">
        <v>0</v>
      </c>
    </row>
    <row r="244" spans="1:5" x14ac:dyDescent="0.25">
      <c r="A244">
        <v>243</v>
      </c>
      <c r="B244">
        <v>38.9</v>
      </c>
      <c r="C244">
        <v>3</v>
      </c>
      <c r="D244">
        <v>5.3</v>
      </c>
      <c r="E244">
        <v>0</v>
      </c>
    </row>
    <row r="245" spans="1:5" x14ac:dyDescent="0.25">
      <c r="A245">
        <v>244</v>
      </c>
      <c r="B245">
        <v>0</v>
      </c>
      <c r="C245">
        <v>3</v>
      </c>
      <c r="D245">
        <v>4</v>
      </c>
      <c r="E245">
        <v>0</v>
      </c>
    </row>
    <row r="246" spans="1:5" x14ac:dyDescent="0.25">
      <c r="A246">
        <v>245</v>
      </c>
      <c r="B246">
        <v>0</v>
      </c>
      <c r="C246">
        <v>3</v>
      </c>
      <c r="D246">
        <v>5.8</v>
      </c>
      <c r="E246">
        <v>0</v>
      </c>
    </row>
    <row r="247" spans="1:5" x14ac:dyDescent="0.25">
      <c r="A247">
        <v>246</v>
      </c>
      <c r="B247">
        <v>0</v>
      </c>
      <c r="C247">
        <v>3</v>
      </c>
      <c r="D247">
        <v>3.8</v>
      </c>
      <c r="E247">
        <v>0</v>
      </c>
    </row>
    <row r="248" spans="1:5" x14ac:dyDescent="0.25">
      <c r="A248">
        <v>247</v>
      </c>
      <c r="B248">
        <v>1.9</v>
      </c>
      <c r="C248">
        <v>3</v>
      </c>
      <c r="D248">
        <v>3.4</v>
      </c>
      <c r="E248">
        <v>0</v>
      </c>
    </row>
    <row r="249" spans="1:5" x14ac:dyDescent="0.25">
      <c r="A249">
        <v>248</v>
      </c>
      <c r="B249">
        <v>0</v>
      </c>
      <c r="C249">
        <v>3</v>
      </c>
      <c r="D249">
        <v>6</v>
      </c>
      <c r="E249">
        <v>0</v>
      </c>
    </row>
    <row r="250" spans="1:5" x14ac:dyDescent="0.25">
      <c r="A250">
        <v>249</v>
      </c>
      <c r="B250">
        <v>0</v>
      </c>
      <c r="C250">
        <v>3</v>
      </c>
      <c r="D250">
        <v>4.3</v>
      </c>
      <c r="E250">
        <v>0</v>
      </c>
    </row>
    <row r="251" spans="1:5" x14ac:dyDescent="0.25">
      <c r="A251">
        <v>250</v>
      </c>
      <c r="B251">
        <v>0</v>
      </c>
      <c r="C251">
        <v>3</v>
      </c>
      <c r="D251">
        <v>5.2</v>
      </c>
      <c r="E251">
        <v>0</v>
      </c>
    </row>
    <row r="252" spans="1:5" x14ac:dyDescent="0.25">
      <c r="A252">
        <v>251</v>
      </c>
      <c r="B252">
        <v>0</v>
      </c>
      <c r="C252">
        <v>3</v>
      </c>
      <c r="D252">
        <v>4.2</v>
      </c>
      <c r="E252">
        <v>0</v>
      </c>
    </row>
    <row r="253" spans="1:5" x14ac:dyDescent="0.25">
      <c r="A253">
        <v>252</v>
      </c>
      <c r="B253">
        <v>0</v>
      </c>
      <c r="C253">
        <v>3</v>
      </c>
      <c r="D253">
        <v>3.3</v>
      </c>
      <c r="E253">
        <v>0</v>
      </c>
    </row>
    <row r="254" spans="1:5" x14ac:dyDescent="0.25">
      <c r="A254">
        <v>253</v>
      </c>
      <c r="B254">
        <v>0</v>
      </c>
      <c r="C254">
        <v>3</v>
      </c>
      <c r="D254">
        <v>4.8</v>
      </c>
      <c r="E254">
        <v>0</v>
      </c>
    </row>
    <row r="255" spans="1:5" x14ac:dyDescent="0.25">
      <c r="A255">
        <v>254</v>
      </c>
      <c r="B255">
        <v>0</v>
      </c>
      <c r="C255">
        <v>3</v>
      </c>
      <c r="D255">
        <v>5.0999999999999996</v>
      </c>
      <c r="E255">
        <v>0</v>
      </c>
    </row>
    <row r="256" spans="1:5" x14ac:dyDescent="0.25">
      <c r="A256">
        <v>255</v>
      </c>
      <c r="B256">
        <v>4</v>
      </c>
      <c r="C256">
        <v>3</v>
      </c>
      <c r="D256">
        <v>4.4000000000000004</v>
      </c>
      <c r="E256">
        <v>0</v>
      </c>
    </row>
    <row r="257" spans="1:5" x14ac:dyDescent="0.25">
      <c r="A257">
        <v>256</v>
      </c>
      <c r="B257">
        <v>11.4</v>
      </c>
      <c r="C257">
        <v>3</v>
      </c>
      <c r="D257">
        <v>4.7</v>
      </c>
      <c r="E257">
        <v>0</v>
      </c>
    </row>
    <row r="258" spans="1:5" x14ac:dyDescent="0.25">
      <c r="A258">
        <v>257</v>
      </c>
      <c r="B258">
        <v>38.4</v>
      </c>
      <c r="C258">
        <v>3</v>
      </c>
      <c r="D258">
        <v>10</v>
      </c>
      <c r="E258">
        <v>0</v>
      </c>
    </row>
    <row r="259" spans="1:5" x14ac:dyDescent="0.25">
      <c r="A259">
        <v>258</v>
      </c>
      <c r="B259">
        <v>0</v>
      </c>
      <c r="C259">
        <v>3</v>
      </c>
      <c r="D259">
        <v>4</v>
      </c>
      <c r="E259">
        <v>0</v>
      </c>
    </row>
    <row r="260" spans="1:5" x14ac:dyDescent="0.25">
      <c r="A260">
        <v>259</v>
      </c>
      <c r="B260">
        <v>0</v>
      </c>
      <c r="C260">
        <v>3</v>
      </c>
      <c r="D260">
        <v>6</v>
      </c>
      <c r="E260">
        <v>0</v>
      </c>
    </row>
    <row r="261" spans="1:5" x14ac:dyDescent="0.25">
      <c r="A261">
        <v>260</v>
      </c>
      <c r="B261">
        <v>6.2</v>
      </c>
      <c r="C261">
        <v>3</v>
      </c>
      <c r="D261">
        <v>2.6</v>
      </c>
      <c r="E261">
        <v>0</v>
      </c>
    </row>
    <row r="262" spans="1:5" x14ac:dyDescent="0.25">
      <c r="A262">
        <v>261</v>
      </c>
      <c r="B262">
        <v>0</v>
      </c>
      <c r="C262">
        <v>3</v>
      </c>
      <c r="D262">
        <v>4.3</v>
      </c>
      <c r="E262">
        <v>0</v>
      </c>
    </row>
    <row r="263" spans="1:5" x14ac:dyDescent="0.25">
      <c r="A263">
        <v>262</v>
      </c>
      <c r="B263">
        <v>0</v>
      </c>
      <c r="C263">
        <v>3</v>
      </c>
      <c r="D263">
        <v>4.4000000000000004</v>
      </c>
      <c r="E263">
        <v>0</v>
      </c>
    </row>
    <row r="264" spans="1:5" x14ac:dyDescent="0.25">
      <c r="A264">
        <v>263</v>
      </c>
      <c r="B264">
        <v>0</v>
      </c>
      <c r="C264">
        <v>3</v>
      </c>
      <c r="D264">
        <v>6.4</v>
      </c>
      <c r="E264">
        <v>0</v>
      </c>
    </row>
    <row r="265" spans="1:5" x14ac:dyDescent="0.25">
      <c r="A265">
        <v>264</v>
      </c>
      <c r="B265">
        <v>2.9</v>
      </c>
      <c r="C265">
        <v>3</v>
      </c>
      <c r="D265">
        <v>4</v>
      </c>
      <c r="E265">
        <v>0</v>
      </c>
    </row>
    <row r="266" spans="1:5" x14ac:dyDescent="0.25">
      <c r="A266">
        <v>265</v>
      </c>
      <c r="B266">
        <v>20.100000000000001</v>
      </c>
      <c r="C266">
        <v>3</v>
      </c>
      <c r="D266">
        <v>6.3</v>
      </c>
      <c r="E266">
        <v>0</v>
      </c>
    </row>
    <row r="267" spans="1:5" x14ac:dyDescent="0.25">
      <c r="A267">
        <v>266</v>
      </c>
      <c r="B267">
        <v>23.5</v>
      </c>
      <c r="C267">
        <v>3</v>
      </c>
      <c r="D267">
        <v>2.9</v>
      </c>
      <c r="E267">
        <v>0</v>
      </c>
    </row>
    <row r="268" spans="1:5" x14ac:dyDescent="0.25">
      <c r="A268">
        <v>267</v>
      </c>
      <c r="B268">
        <v>8.5</v>
      </c>
      <c r="C268">
        <v>3</v>
      </c>
      <c r="D268">
        <v>2.5</v>
      </c>
      <c r="E268">
        <v>0</v>
      </c>
    </row>
    <row r="269" spans="1:5" x14ac:dyDescent="0.25">
      <c r="A269">
        <v>268</v>
      </c>
      <c r="B269">
        <v>0</v>
      </c>
      <c r="C269">
        <v>3</v>
      </c>
      <c r="D269">
        <v>1.8</v>
      </c>
      <c r="E269">
        <v>0</v>
      </c>
    </row>
    <row r="270" spans="1:5" x14ac:dyDescent="0.25">
      <c r="A270">
        <v>269</v>
      </c>
      <c r="B270">
        <v>3.6</v>
      </c>
      <c r="C270">
        <v>3</v>
      </c>
      <c r="D270">
        <v>3.2</v>
      </c>
      <c r="E270">
        <v>0</v>
      </c>
    </row>
    <row r="271" spans="1:5" x14ac:dyDescent="0.25">
      <c r="A271">
        <v>270</v>
      </c>
      <c r="B271">
        <v>0</v>
      </c>
      <c r="C271">
        <v>3</v>
      </c>
      <c r="D271">
        <v>5.0999999999999996</v>
      </c>
      <c r="E271">
        <v>0</v>
      </c>
    </row>
    <row r="272" spans="1:5" x14ac:dyDescent="0.25">
      <c r="A272">
        <v>271</v>
      </c>
      <c r="B272">
        <v>2.1</v>
      </c>
      <c r="C272">
        <v>3</v>
      </c>
      <c r="D272">
        <v>3</v>
      </c>
      <c r="E272">
        <v>0</v>
      </c>
    </row>
    <row r="273" spans="1:5" x14ac:dyDescent="0.25">
      <c r="A273">
        <v>272</v>
      </c>
      <c r="B273">
        <v>0</v>
      </c>
      <c r="C273">
        <v>3</v>
      </c>
      <c r="D273">
        <v>3.8</v>
      </c>
      <c r="E273">
        <v>0</v>
      </c>
    </row>
    <row r="274" spans="1:5" x14ac:dyDescent="0.25">
      <c r="A274">
        <v>273</v>
      </c>
      <c r="B274">
        <v>0</v>
      </c>
      <c r="C274">
        <v>3</v>
      </c>
      <c r="D274">
        <v>5</v>
      </c>
      <c r="E274">
        <v>0</v>
      </c>
    </row>
    <row r="275" spans="1:5" x14ac:dyDescent="0.25">
      <c r="A275">
        <v>274</v>
      </c>
      <c r="B275">
        <v>0</v>
      </c>
      <c r="C275">
        <v>3</v>
      </c>
      <c r="D275">
        <v>4.3</v>
      </c>
      <c r="E275">
        <v>0</v>
      </c>
    </row>
    <row r="276" spans="1:5" x14ac:dyDescent="0.25">
      <c r="A276">
        <v>275</v>
      </c>
      <c r="B276">
        <v>73.2</v>
      </c>
      <c r="C276">
        <v>3</v>
      </c>
      <c r="D276">
        <v>4.0999999999999996</v>
      </c>
      <c r="E276">
        <v>0</v>
      </c>
    </row>
    <row r="277" spans="1:5" x14ac:dyDescent="0.25">
      <c r="A277">
        <v>276</v>
      </c>
      <c r="B277">
        <v>6.1</v>
      </c>
      <c r="C277">
        <v>3</v>
      </c>
      <c r="D277">
        <v>4</v>
      </c>
      <c r="E277">
        <v>0</v>
      </c>
    </row>
    <row r="278" spans="1:5" x14ac:dyDescent="0.25">
      <c r="A278">
        <v>277</v>
      </c>
      <c r="B278">
        <v>0</v>
      </c>
      <c r="C278">
        <v>3</v>
      </c>
      <c r="D278">
        <v>3.1</v>
      </c>
      <c r="E278">
        <v>0</v>
      </c>
    </row>
    <row r="279" spans="1:5" x14ac:dyDescent="0.25">
      <c r="A279">
        <v>278</v>
      </c>
      <c r="B279">
        <v>0</v>
      </c>
      <c r="C279">
        <v>3</v>
      </c>
      <c r="D279">
        <v>3.5</v>
      </c>
      <c r="E279">
        <v>0</v>
      </c>
    </row>
    <row r="280" spans="1:5" x14ac:dyDescent="0.25">
      <c r="A280">
        <v>279</v>
      </c>
      <c r="B280">
        <v>13.7</v>
      </c>
      <c r="C280">
        <v>3</v>
      </c>
      <c r="D280">
        <v>3.7</v>
      </c>
      <c r="E280">
        <v>0</v>
      </c>
    </row>
    <row r="281" spans="1:5" x14ac:dyDescent="0.25">
      <c r="A281">
        <v>280</v>
      </c>
      <c r="B281">
        <v>1.5</v>
      </c>
      <c r="C281">
        <v>3</v>
      </c>
      <c r="D281">
        <v>4.0999999999999996</v>
      </c>
      <c r="E281">
        <v>0</v>
      </c>
    </row>
    <row r="282" spans="1:5" x14ac:dyDescent="0.25">
      <c r="A282">
        <v>281</v>
      </c>
      <c r="B282">
        <v>3.1</v>
      </c>
      <c r="C282">
        <v>3</v>
      </c>
      <c r="D282">
        <v>4</v>
      </c>
      <c r="E282">
        <v>0</v>
      </c>
    </row>
    <row r="283" spans="1:5" x14ac:dyDescent="0.25">
      <c r="A283">
        <v>282</v>
      </c>
      <c r="B283">
        <v>7.7</v>
      </c>
      <c r="C283">
        <v>3</v>
      </c>
      <c r="D283">
        <v>4.0999999999999996</v>
      </c>
      <c r="E283">
        <v>0</v>
      </c>
    </row>
    <row r="284" spans="1:5" x14ac:dyDescent="0.25">
      <c r="A284">
        <v>283</v>
      </c>
      <c r="B284">
        <v>0</v>
      </c>
      <c r="C284">
        <v>3</v>
      </c>
      <c r="D284">
        <v>3.6</v>
      </c>
      <c r="E284">
        <v>0</v>
      </c>
    </row>
    <row r="285" spans="1:5" x14ac:dyDescent="0.25">
      <c r="A285">
        <v>284</v>
      </c>
      <c r="B285">
        <v>7.1</v>
      </c>
      <c r="C285">
        <v>3</v>
      </c>
      <c r="D285">
        <v>6.6</v>
      </c>
      <c r="E285">
        <v>0</v>
      </c>
    </row>
    <row r="286" spans="1:5" x14ac:dyDescent="0.25">
      <c r="A286">
        <v>285</v>
      </c>
      <c r="B286">
        <v>0</v>
      </c>
      <c r="C286">
        <v>3</v>
      </c>
      <c r="D286">
        <v>4</v>
      </c>
      <c r="E286">
        <v>0</v>
      </c>
    </row>
    <row r="287" spans="1:5" x14ac:dyDescent="0.25">
      <c r="A287">
        <v>286</v>
      </c>
      <c r="B287">
        <v>0</v>
      </c>
      <c r="C287">
        <v>3</v>
      </c>
      <c r="D287">
        <v>4.2</v>
      </c>
      <c r="E287">
        <v>0</v>
      </c>
    </row>
    <row r="288" spans="1:5" x14ac:dyDescent="0.25">
      <c r="A288">
        <v>287</v>
      </c>
      <c r="B288">
        <v>0</v>
      </c>
      <c r="C288">
        <v>3</v>
      </c>
      <c r="D288">
        <v>2</v>
      </c>
      <c r="E288">
        <v>0</v>
      </c>
    </row>
    <row r="289" spans="1:5" x14ac:dyDescent="0.25">
      <c r="A289">
        <v>288</v>
      </c>
      <c r="B289">
        <v>1.5</v>
      </c>
      <c r="C289">
        <v>3</v>
      </c>
      <c r="D289">
        <v>5.2</v>
      </c>
      <c r="E289">
        <v>0</v>
      </c>
    </row>
    <row r="290" spans="1:5" x14ac:dyDescent="0.25">
      <c r="A290">
        <v>289</v>
      </c>
      <c r="B290">
        <v>1.1000000000000001</v>
      </c>
      <c r="C290">
        <v>3</v>
      </c>
      <c r="D290">
        <v>2.8</v>
      </c>
      <c r="E290">
        <v>0</v>
      </c>
    </row>
    <row r="291" spans="1:5" x14ac:dyDescent="0.25">
      <c r="A291">
        <v>290</v>
      </c>
      <c r="B291">
        <v>0</v>
      </c>
      <c r="C291">
        <v>3</v>
      </c>
      <c r="D291">
        <v>4.9000000000000004</v>
      </c>
      <c r="E291">
        <v>0</v>
      </c>
    </row>
    <row r="292" spans="1:5" x14ac:dyDescent="0.25">
      <c r="A292">
        <v>291</v>
      </c>
      <c r="B292">
        <v>33.700000000000003</v>
      </c>
      <c r="C292">
        <v>3</v>
      </c>
      <c r="D292">
        <v>6.8</v>
      </c>
      <c r="E292">
        <v>0</v>
      </c>
    </row>
    <row r="293" spans="1:5" x14ac:dyDescent="0.25">
      <c r="A293">
        <v>292</v>
      </c>
      <c r="B293">
        <v>15.5</v>
      </c>
      <c r="C293">
        <v>3</v>
      </c>
      <c r="D293">
        <v>5.7</v>
      </c>
      <c r="E293">
        <v>0</v>
      </c>
    </row>
    <row r="294" spans="1:5" x14ac:dyDescent="0.25">
      <c r="A294">
        <v>293</v>
      </c>
      <c r="B294">
        <v>0</v>
      </c>
      <c r="C294">
        <v>3</v>
      </c>
      <c r="D294">
        <v>2.1</v>
      </c>
      <c r="E294">
        <v>0</v>
      </c>
    </row>
    <row r="295" spans="1:5" x14ac:dyDescent="0.25">
      <c r="A295">
        <v>294</v>
      </c>
      <c r="B295">
        <v>0</v>
      </c>
      <c r="C295">
        <v>3</v>
      </c>
      <c r="D295">
        <v>4.5999999999999996</v>
      </c>
      <c r="E295">
        <v>0</v>
      </c>
    </row>
    <row r="296" spans="1:5" x14ac:dyDescent="0.25">
      <c r="A296">
        <v>295</v>
      </c>
      <c r="B296">
        <v>2.5</v>
      </c>
      <c r="C296">
        <v>3</v>
      </c>
      <c r="D296">
        <v>2.1</v>
      </c>
      <c r="E296">
        <v>0</v>
      </c>
    </row>
    <row r="297" spans="1:5" x14ac:dyDescent="0.25">
      <c r="A297">
        <v>296</v>
      </c>
      <c r="B297">
        <v>3.1</v>
      </c>
      <c r="C297">
        <v>3</v>
      </c>
      <c r="D297">
        <v>2.8</v>
      </c>
      <c r="E297">
        <v>0</v>
      </c>
    </row>
    <row r="298" spans="1:5" x14ac:dyDescent="0.25">
      <c r="A298">
        <v>297</v>
      </c>
      <c r="B298">
        <v>0</v>
      </c>
      <c r="C298">
        <v>3</v>
      </c>
      <c r="D298">
        <v>3.8</v>
      </c>
      <c r="E298">
        <v>0</v>
      </c>
    </row>
    <row r="299" spans="1:5" x14ac:dyDescent="0.25">
      <c r="A299">
        <v>298</v>
      </c>
      <c r="B299">
        <v>0</v>
      </c>
      <c r="C299">
        <v>3</v>
      </c>
      <c r="D299">
        <v>2.9</v>
      </c>
      <c r="E299">
        <v>0</v>
      </c>
    </row>
    <row r="300" spans="1:5" x14ac:dyDescent="0.25">
      <c r="A300">
        <v>299</v>
      </c>
      <c r="B300">
        <v>0</v>
      </c>
      <c r="C300">
        <v>3</v>
      </c>
      <c r="D300">
        <v>3.7</v>
      </c>
      <c r="E300">
        <v>0</v>
      </c>
    </row>
    <row r="301" spans="1:5" x14ac:dyDescent="0.25">
      <c r="A301">
        <v>300</v>
      </c>
      <c r="B301">
        <v>6.4</v>
      </c>
      <c r="C301">
        <v>3</v>
      </c>
      <c r="D301">
        <v>4.2</v>
      </c>
      <c r="E301">
        <v>0</v>
      </c>
    </row>
    <row r="302" spans="1:5" x14ac:dyDescent="0.25">
      <c r="A302">
        <v>301</v>
      </c>
      <c r="B302">
        <v>11.8</v>
      </c>
      <c r="C302">
        <v>3</v>
      </c>
      <c r="D302">
        <v>3.4</v>
      </c>
      <c r="E302">
        <v>0</v>
      </c>
    </row>
    <row r="303" spans="1:5" x14ac:dyDescent="0.25">
      <c r="A303">
        <v>302</v>
      </c>
      <c r="B303">
        <v>5</v>
      </c>
      <c r="C303">
        <v>3</v>
      </c>
      <c r="D303">
        <v>3.5</v>
      </c>
      <c r="E303">
        <v>0</v>
      </c>
    </row>
    <row r="304" spans="1:5" x14ac:dyDescent="0.25">
      <c r="A304">
        <v>303</v>
      </c>
      <c r="B304">
        <v>29.2</v>
      </c>
      <c r="C304">
        <v>3</v>
      </c>
      <c r="D304">
        <v>5.5</v>
      </c>
      <c r="E304">
        <v>0</v>
      </c>
    </row>
    <row r="305" spans="1:5" x14ac:dyDescent="0.25">
      <c r="A305">
        <v>304</v>
      </c>
      <c r="B305">
        <v>10.4</v>
      </c>
      <c r="C305">
        <v>3</v>
      </c>
      <c r="D305">
        <v>3.3</v>
      </c>
      <c r="E305">
        <v>0</v>
      </c>
    </row>
    <row r="306" spans="1:5" x14ac:dyDescent="0.25">
      <c r="A306">
        <v>305</v>
      </c>
      <c r="B306">
        <v>4.3</v>
      </c>
      <c r="C306">
        <v>3</v>
      </c>
      <c r="D306">
        <v>7.8</v>
      </c>
      <c r="E306">
        <v>0</v>
      </c>
    </row>
    <row r="307" spans="1:5" x14ac:dyDescent="0.25">
      <c r="A307">
        <v>306</v>
      </c>
      <c r="B307">
        <v>14.2</v>
      </c>
      <c r="C307">
        <v>3</v>
      </c>
      <c r="D307">
        <v>4.9000000000000004</v>
      </c>
      <c r="E307">
        <v>0</v>
      </c>
    </row>
    <row r="308" spans="1:5" x14ac:dyDescent="0.25">
      <c r="A308">
        <v>307</v>
      </c>
      <c r="B308">
        <v>5.7</v>
      </c>
      <c r="C308">
        <v>3</v>
      </c>
      <c r="D308">
        <v>2.2999999999999998</v>
      </c>
      <c r="E308">
        <v>0</v>
      </c>
    </row>
    <row r="309" spans="1:5" x14ac:dyDescent="0.25">
      <c r="A309">
        <v>308</v>
      </c>
      <c r="B309">
        <v>8.1</v>
      </c>
      <c r="C309">
        <v>3</v>
      </c>
      <c r="D309">
        <v>4</v>
      </c>
      <c r="E309">
        <v>0</v>
      </c>
    </row>
    <row r="310" spans="1:5" x14ac:dyDescent="0.25">
      <c r="A310">
        <v>309</v>
      </c>
      <c r="B310">
        <v>20.2</v>
      </c>
      <c r="C310">
        <v>3</v>
      </c>
      <c r="D310">
        <v>4.3</v>
      </c>
      <c r="E310">
        <v>0</v>
      </c>
    </row>
    <row r="311" spans="1:5" x14ac:dyDescent="0.25">
      <c r="A311">
        <v>310</v>
      </c>
      <c r="B311">
        <v>0.6</v>
      </c>
      <c r="C311">
        <v>3</v>
      </c>
      <c r="D311">
        <v>3.8</v>
      </c>
      <c r="E311">
        <v>0</v>
      </c>
    </row>
    <row r="312" spans="1:5" x14ac:dyDescent="0.25">
      <c r="A312">
        <v>311</v>
      </c>
      <c r="B312">
        <v>18.8</v>
      </c>
      <c r="C312">
        <v>3</v>
      </c>
      <c r="D312">
        <v>1.8</v>
      </c>
      <c r="E312">
        <v>0</v>
      </c>
    </row>
    <row r="313" spans="1:5" x14ac:dyDescent="0.25">
      <c r="A313">
        <v>312</v>
      </c>
      <c r="B313">
        <v>2.9</v>
      </c>
      <c r="C313">
        <v>3</v>
      </c>
      <c r="D313">
        <v>5.7</v>
      </c>
      <c r="E313">
        <v>0</v>
      </c>
    </row>
    <row r="314" spans="1:5" x14ac:dyDescent="0.25">
      <c r="A314">
        <v>313</v>
      </c>
      <c r="B314">
        <v>30.6</v>
      </c>
      <c r="C314">
        <v>3</v>
      </c>
      <c r="D314">
        <v>5.0999999999999996</v>
      </c>
      <c r="E314">
        <v>0</v>
      </c>
    </row>
    <row r="315" spans="1:5" x14ac:dyDescent="0.25">
      <c r="A315">
        <v>314</v>
      </c>
      <c r="B315">
        <v>3.1</v>
      </c>
      <c r="C315">
        <v>3</v>
      </c>
      <c r="D315">
        <v>4</v>
      </c>
      <c r="E315">
        <v>0</v>
      </c>
    </row>
    <row r="316" spans="1:5" x14ac:dyDescent="0.25">
      <c r="A316">
        <v>315</v>
      </c>
      <c r="B316">
        <v>0</v>
      </c>
      <c r="C316">
        <v>3</v>
      </c>
      <c r="D316">
        <v>2</v>
      </c>
      <c r="E316">
        <v>0</v>
      </c>
    </row>
    <row r="317" spans="1:5" x14ac:dyDescent="0.25">
      <c r="A317">
        <v>316</v>
      </c>
      <c r="B317">
        <v>3.5</v>
      </c>
      <c r="C317">
        <v>3</v>
      </c>
      <c r="D317">
        <v>2.4</v>
      </c>
      <c r="E317">
        <v>0</v>
      </c>
    </row>
    <row r="318" spans="1:5" x14ac:dyDescent="0.25">
      <c r="A318">
        <v>317</v>
      </c>
      <c r="B318">
        <v>0.4</v>
      </c>
      <c r="C318">
        <v>3</v>
      </c>
      <c r="D318">
        <v>2.5</v>
      </c>
      <c r="E318">
        <v>0</v>
      </c>
    </row>
    <row r="319" spans="1:5" x14ac:dyDescent="0.25">
      <c r="A319">
        <v>318</v>
      </c>
      <c r="B319">
        <v>19.5</v>
      </c>
      <c r="C319">
        <v>3</v>
      </c>
      <c r="D319">
        <v>3.8</v>
      </c>
      <c r="E319">
        <v>0</v>
      </c>
    </row>
    <row r="320" spans="1:5" x14ac:dyDescent="0.25">
      <c r="A320">
        <v>319</v>
      </c>
      <c r="B320">
        <v>0</v>
      </c>
      <c r="C320">
        <v>3</v>
      </c>
      <c r="D320">
        <v>3.2</v>
      </c>
      <c r="E320">
        <v>0</v>
      </c>
    </row>
    <row r="321" spans="1:5" x14ac:dyDescent="0.25">
      <c r="A321">
        <v>320</v>
      </c>
      <c r="B321">
        <v>0</v>
      </c>
      <c r="C321">
        <v>3</v>
      </c>
      <c r="D321">
        <v>2.1</v>
      </c>
      <c r="E321">
        <v>0</v>
      </c>
    </row>
    <row r="322" spans="1:5" x14ac:dyDescent="0.25">
      <c r="A322">
        <v>321</v>
      </c>
      <c r="B322">
        <v>6.5</v>
      </c>
      <c r="C322">
        <v>3</v>
      </c>
      <c r="D322">
        <v>5.5</v>
      </c>
      <c r="E322">
        <v>0</v>
      </c>
    </row>
    <row r="323" spans="1:5" x14ac:dyDescent="0.25">
      <c r="A323">
        <v>322</v>
      </c>
      <c r="B323">
        <v>8.8000000000000007</v>
      </c>
      <c r="C323">
        <v>3</v>
      </c>
      <c r="D323">
        <v>4.4000000000000004</v>
      </c>
      <c r="E323">
        <v>0</v>
      </c>
    </row>
    <row r="324" spans="1:5" x14ac:dyDescent="0.25">
      <c r="A324">
        <v>323</v>
      </c>
      <c r="B324">
        <v>0</v>
      </c>
      <c r="C324">
        <v>3</v>
      </c>
      <c r="D324">
        <v>2.7</v>
      </c>
      <c r="E324">
        <v>0</v>
      </c>
    </row>
    <row r="325" spans="1:5" x14ac:dyDescent="0.25">
      <c r="A325">
        <v>324</v>
      </c>
      <c r="B325">
        <v>0</v>
      </c>
      <c r="C325">
        <v>3</v>
      </c>
      <c r="D325">
        <v>4.3</v>
      </c>
      <c r="E325">
        <v>0</v>
      </c>
    </row>
    <row r="326" spans="1:5" x14ac:dyDescent="0.25">
      <c r="A326">
        <v>325</v>
      </c>
      <c r="B326">
        <v>0</v>
      </c>
      <c r="C326">
        <v>3</v>
      </c>
      <c r="D326">
        <v>5.2</v>
      </c>
      <c r="E326">
        <v>0</v>
      </c>
    </row>
    <row r="327" spans="1:5" x14ac:dyDescent="0.25">
      <c r="A327">
        <v>326</v>
      </c>
      <c r="B327">
        <v>12.6</v>
      </c>
      <c r="C327">
        <v>3</v>
      </c>
      <c r="D327">
        <v>2.5</v>
      </c>
      <c r="E327">
        <v>0</v>
      </c>
    </row>
    <row r="328" spans="1:5" x14ac:dyDescent="0.25">
      <c r="A328">
        <v>327</v>
      </c>
      <c r="B328">
        <v>20.399999999999999</v>
      </c>
      <c r="C328">
        <v>3</v>
      </c>
      <c r="D328">
        <v>3.8</v>
      </c>
      <c r="E328">
        <v>0</v>
      </c>
    </row>
    <row r="329" spans="1:5" x14ac:dyDescent="0.25">
      <c r="A329">
        <v>328</v>
      </c>
      <c r="B329">
        <v>1.35</v>
      </c>
      <c r="C329">
        <v>3</v>
      </c>
      <c r="D329">
        <v>2.5</v>
      </c>
      <c r="E329">
        <v>0</v>
      </c>
    </row>
    <row r="330" spans="1:5" x14ac:dyDescent="0.25">
      <c r="A330">
        <v>329</v>
      </c>
      <c r="B330">
        <v>42.2</v>
      </c>
      <c r="C330">
        <v>3</v>
      </c>
      <c r="D330">
        <v>2.2999999999999998</v>
      </c>
      <c r="E330">
        <v>0</v>
      </c>
    </row>
    <row r="331" spans="1:5" x14ac:dyDescent="0.25">
      <c r="A331">
        <v>330</v>
      </c>
      <c r="B331">
        <v>0.6</v>
      </c>
      <c r="C331">
        <v>3</v>
      </c>
      <c r="D331">
        <v>2.1</v>
      </c>
      <c r="E331">
        <v>0</v>
      </c>
    </row>
    <row r="332" spans="1:5" x14ac:dyDescent="0.25">
      <c r="A332">
        <v>331</v>
      </c>
      <c r="B332">
        <v>0</v>
      </c>
      <c r="C332">
        <v>3</v>
      </c>
      <c r="D332">
        <v>3.4</v>
      </c>
      <c r="E332">
        <v>0</v>
      </c>
    </row>
    <row r="333" spans="1:5" x14ac:dyDescent="0.25">
      <c r="A333">
        <v>332</v>
      </c>
      <c r="B333">
        <v>0</v>
      </c>
      <c r="C333">
        <v>3</v>
      </c>
      <c r="D333">
        <v>3.2</v>
      </c>
      <c r="E333">
        <v>0</v>
      </c>
    </row>
    <row r="334" spans="1:5" x14ac:dyDescent="0.25">
      <c r="A334">
        <v>333</v>
      </c>
      <c r="B334">
        <v>9.1999999999999993</v>
      </c>
      <c r="C334">
        <v>3</v>
      </c>
      <c r="D334">
        <v>3.5</v>
      </c>
      <c r="E334">
        <v>0</v>
      </c>
    </row>
    <row r="335" spans="1:5" x14ac:dyDescent="0.25">
      <c r="A335">
        <v>334</v>
      </c>
      <c r="B335">
        <v>9</v>
      </c>
      <c r="C335">
        <v>3</v>
      </c>
      <c r="D335">
        <v>3.1</v>
      </c>
      <c r="E335">
        <v>0</v>
      </c>
    </row>
    <row r="336" spans="1:5" x14ac:dyDescent="0.25">
      <c r="A336">
        <v>335</v>
      </c>
      <c r="B336">
        <v>0</v>
      </c>
      <c r="C336">
        <v>3</v>
      </c>
      <c r="D336">
        <v>2.2999999999999998</v>
      </c>
      <c r="E336">
        <v>0</v>
      </c>
    </row>
    <row r="337" spans="1:5" x14ac:dyDescent="0.25">
      <c r="A337">
        <v>336</v>
      </c>
      <c r="B337">
        <v>3.6</v>
      </c>
      <c r="C337">
        <v>3</v>
      </c>
      <c r="D337">
        <v>3.1</v>
      </c>
      <c r="E337">
        <v>0</v>
      </c>
    </row>
    <row r="338" spans="1:5" x14ac:dyDescent="0.25">
      <c r="A338">
        <v>337</v>
      </c>
      <c r="B338">
        <v>32.700000000000003</v>
      </c>
      <c r="C338">
        <v>3</v>
      </c>
      <c r="D338">
        <v>5.4</v>
      </c>
      <c r="E338">
        <v>0</v>
      </c>
    </row>
    <row r="339" spans="1:5" x14ac:dyDescent="0.25">
      <c r="A339">
        <v>338</v>
      </c>
      <c r="B339">
        <v>27.1</v>
      </c>
      <c r="C339">
        <v>3</v>
      </c>
      <c r="D339">
        <v>3.9</v>
      </c>
      <c r="E339">
        <v>0</v>
      </c>
    </row>
    <row r="340" spans="1:5" x14ac:dyDescent="0.25">
      <c r="A340">
        <v>339</v>
      </c>
      <c r="B340">
        <v>2.6</v>
      </c>
      <c r="C340">
        <v>3</v>
      </c>
      <c r="D340">
        <v>3.2</v>
      </c>
      <c r="E340">
        <v>0</v>
      </c>
    </row>
    <row r="341" spans="1:5" x14ac:dyDescent="0.25">
      <c r="A341">
        <v>340</v>
      </c>
      <c r="B341">
        <v>7.8</v>
      </c>
      <c r="C341">
        <v>3</v>
      </c>
      <c r="D341">
        <v>2.6</v>
      </c>
      <c r="E341">
        <v>0</v>
      </c>
    </row>
    <row r="342" spans="1:5" x14ac:dyDescent="0.25">
      <c r="A342">
        <v>341</v>
      </c>
      <c r="B342">
        <v>87</v>
      </c>
      <c r="C342">
        <v>3</v>
      </c>
      <c r="D342">
        <v>3.3</v>
      </c>
      <c r="E342">
        <v>0</v>
      </c>
    </row>
    <row r="343" spans="1:5" x14ac:dyDescent="0.25">
      <c r="A343">
        <v>342</v>
      </c>
      <c r="B343">
        <v>6.3</v>
      </c>
      <c r="C343">
        <v>3</v>
      </c>
      <c r="D343">
        <v>4</v>
      </c>
      <c r="E343">
        <v>0</v>
      </c>
    </row>
    <row r="344" spans="1:5" x14ac:dyDescent="0.25">
      <c r="A344">
        <v>343</v>
      </c>
      <c r="B344">
        <v>48.1</v>
      </c>
      <c r="C344">
        <v>3</v>
      </c>
      <c r="D344">
        <v>4.2</v>
      </c>
      <c r="E344">
        <v>0</v>
      </c>
    </row>
    <row r="345" spans="1:5" x14ac:dyDescent="0.25">
      <c r="A345">
        <v>344</v>
      </c>
      <c r="B345">
        <v>1.6</v>
      </c>
      <c r="C345">
        <v>3</v>
      </c>
      <c r="D345">
        <v>4.4000000000000004</v>
      </c>
      <c r="E345">
        <v>0</v>
      </c>
    </row>
    <row r="346" spans="1:5" x14ac:dyDescent="0.25">
      <c r="A346">
        <v>345</v>
      </c>
      <c r="B346">
        <v>8.4</v>
      </c>
      <c r="C346">
        <v>3</v>
      </c>
      <c r="D346">
        <v>4.5</v>
      </c>
      <c r="E346">
        <v>0</v>
      </c>
    </row>
    <row r="347" spans="1:5" x14ac:dyDescent="0.25">
      <c r="A347">
        <v>346</v>
      </c>
      <c r="B347">
        <v>5.6</v>
      </c>
      <c r="C347">
        <v>3</v>
      </c>
      <c r="D347">
        <v>2.6</v>
      </c>
      <c r="E347">
        <v>0</v>
      </c>
    </row>
    <row r="348" spans="1:5" x14ac:dyDescent="0.25">
      <c r="A348">
        <v>347</v>
      </c>
      <c r="B348">
        <v>3.8</v>
      </c>
      <c r="C348">
        <v>3</v>
      </c>
      <c r="D348">
        <v>3.8</v>
      </c>
      <c r="E348">
        <v>0</v>
      </c>
    </row>
    <row r="349" spans="1:5" x14ac:dyDescent="0.25">
      <c r="A349">
        <v>348</v>
      </c>
      <c r="B349">
        <v>0.5</v>
      </c>
      <c r="C349">
        <v>3</v>
      </c>
      <c r="D349">
        <v>1.4</v>
      </c>
      <c r="E349">
        <v>0</v>
      </c>
    </row>
    <row r="350" spans="1:5" x14ac:dyDescent="0.25">
      <c r="A350">
        <v>349</v>
      </c>
      <c r="B350">
        <v>1.3</v>
      </c>
      <c r="C350">
        <v>3</v>
      </c>
      <c r="D350">
        <v>3</v>
      </c>
      <c r="E350">
        <v>0</v>
      </c>
    </row>
    <row r="351" spans="1:5" x14ac:dyDescent="0.25">
      <c r="A351">
        <v>350</v>
      </c>
      <c r="B351">
        <v>50.6</v>
      </c>
      <c r="C351">
        <v>3</v>
      </c>
      <c r="D351">
        <v>5.0999999999999996</v>
      </c>
      <c r="E351">
        <v>0</v>
      </c>
    </row>
    <row r="352" spans="1:5" x14ac:dyDescent="0.25">
      <c r="A352">
        <v>351</v>
      </c>
      <c r="B352">
        <v>35.6</v>
      </c>
      <c r="C352">
        <v>3</v>
      </c>
      <c r="D352">
        <v>7.1</v>
      </c>
      <c r="E352">
        <v>0</v>
      </c>
    </row>
    <row r="353" spans="1:5" x14ac:dyDescent="0.25">
      <c r="A353">
        <v>352</v>
      </c>
      <c r="B353">
        <v>0.8</v>
      </c>
      <c r="C353">
        <v>3</v>
      </c>
      <c r="D353">
        <v>3.2</v>
      </c>
      <c r="E353">
        <v>0</v>
      </c>
    </row>
    <row r="354" spans="1:5" x14ac:dyDescent="0.25">
      <c r="A354">
        <v>353</v>
      </c>
      <c r="B354">
        <v>0</v>
      </c>
      <c r="C354">
        <v>3</v>
      </c>
      <c r="D354">
        <v>4.3</v>
      </c>
      <c r="E354">
        <v>0</v>
      </c>
    </row>
    <row r="355" spans="1:5" x14ac:dyDescent="0.25">
      <c r="A355">
        <v>354</v>
      </c>
      <c r="B355">
        <v>0</v>
      </c>
      <c r="C355">
        <v>3</v>
      </c>
      <c r="D355">
        <v>4.5999999999999996</v>
      </c>
      <c r="E355">
        <v>0</v>
      </c>
    </row>
    <row r="356" spans="1:5" x14ac:dyDescent="0.25">
      <c r="A356">
        <v>355</v>
      </c>
      <c r="B356">
        <v>0</v>
      </c>
      <c r="C356">
        <v>3</v>
      </c>
      <c r="D356">
        <v>5</v>
      </c>
      <c r="E356">
        <v>0</v>
      </c>
    </row>
    <row r="357" spans="1:5" x14ac:dyDescent="0.25">
      <c r="A357">
        <v>356</v>
      </c>
      <c r="B357">
        <v>4.5999999999999996</v>
      </c>
      <c r="C357">
        <v>3</v>
      </c>
      <c r="D357">
        <v>4.5</v>
      </c>
      <c r="E357">
        <v>0</v>
      </c>
    </row>
    <row r="358" spans="1:5" x14ac:dyDescent="0.25">
      <c r="A358">
        <v>357</v>
      </c>
      <c r="B358">
        <v>0</v>
      </c>
      <c r="C358">
        <v>3</v>
      </c>
      <c r="D358">
        <v>3.2</v>
      </c>
      <c r="E358">
        <v>0</v>
      </c>
    </row>
    <row r="359" spans="1:5" x14ac:dyDescent="0.25">
      <c r="A359">
        <v>358</v>
      </c>
      <c r="B359">
        <v>0</v>
      </c>
      <c r="C359">
        <v>3</v>
      </c>
      <c r="D359">
        <v>4.5</v>
      </c>
      <c r="E359">
        <v>0</v>
      </c>
    </row>
    <row r="360" spans="1:5" x14ac:dyDescent="0.25">
      <c r="A360">
        <v>359</v>
      </c>
      <c r="B360">
        <v>0</v>
      </c>
      <c r="C360">
        <v>3</v>
      </c>
      <c r="D360">
        <v>4.5999999999999996</v>
      </c>
      <c r="E360">
        <v>0</v>
      </c>
    </row>
    <row r="361" spans="1:5" x14ac:dyDescent="0.25">
      <c r="A361">
        <v>360</v>
      </c>
      <c r="B361">
        <v>0</v>
      </c>
      <c r="C361">
        <v>3</v>
      </c>
      <c r="D361">
        <v>3.8</v>
      </c>
      <c r="E361">
        <v>0</v>
      </c>
    </row>
    <row r="362" spans="1:5" x14ac:dyDescent="0.25">
      <c r="A362">
        <v>361</v>
      </c>
      <c r="B362">
        <v>0</v>
      </c>
      <c r="C362">
        <v>3</v>
      </c>
      <c r="D362">
        <v>4.4000000000000004</v>
      </c>
      <c r="E362">
        <v>0</v>
      </c>
    </row>
    <row r="363" spans="1:5" x14ac:dyDescent="0.25">
      <c r="A363">
        <v>362</v>
      </c>
      <c r="B363">
        <v>0</v>
      </c>
      <c r="C363">
        <v>3</v>
      </c>
      <c r="D363">
        <v>2.8</v>
      </c>
      <c r="E363">
        <v>0</v>
      </c>
    </row>
    <row r="364" spans="1:5" x14ac:dyDescent="0.25">
      <c r="A364">
        <v>363</v>
      </c>
      <c r="B364">
        <v>0</v>
      </c>
      <c r="C364">
        <v>3</v>
      </c>
      <c r="D364">
        <v>5.4</v>
      </c>
      <c r="E364">
        <v>0</v>
      </c>
    </row>
    <row r="365" spans="1:5" x14ac:dyDescent="0.25">
      <c r="A365">
        <v>364</v>
      </c>
      <c r="B365">
        <v>0.4</v>
      </c>
      <c r="C365">
        <v>3</v>
      </c>
      <c r="D365">
        <v>2.5</v>
      </c>
      <c r="E365">
        <v>0</v>
      </c>
    </row>
    <row r="366" spans="1:5" x14ac:dyDescent="0.25">
      <c r="A366">
        <v>365</v>
      </c>
      <c r="B366">
        <v>0</v>
      </c>
      <c r="C366">
        <v>3</v>
      </c>
      <c r="D366">
        <v>1.2</v>
      </c>
      <c r="E366">
        <v>0</v>
      </c>
    </row>
  </sheetData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79"/>
  <sheetViews>
    <sheetView zoomScaleNormal="100" workbookViewId="0">
      <selection activeCell="K8" sqref="K8"/>
    </sheetView>
  </sheetViews>
  <sheetFormatPr defaultRowHeight="15" x14ac:dyDescent="0.25"/>
  <cols>
    <col min="1" max="1" width="19.42578125" bestFit="1" customWidth="1"/>
    <col min="3" max="3" width="4.42578125" customWidth="1"/>
    <col min="4" max="4" width="25.5703125" bestFit="1" customWidth="1"/>
    <col min="6" max="6" width="4.42578125" customWidth="1"/>
    <col min="7" max="7" width="29" bestFit="1" customWidth="1"/>
    <col min="11" max="11" width="12.7109375" bestFit="1" customWidth="1"/>
  </cols>
  <sheetData>
    <row r="1" spans="1:11" x14ac:dyDescent="0.25">
      <c r="A1" s="1" t="s">
        <v>0</v>
      </c>
      <c r="G1" s="1" t="s">
        <v>2</v>
      </c>
    </row>
    <row r="2" spans="1:11" x14ac:dyDescent="0.25">
      <c r="A2" t="s">
        <v>1</v>
      </c>
      <c r="B2">
        <v>200</v>
      </c>
      <c r="D2" t="s">
        <v>39</v>
      </c>
      <c r="E2">
        <f>MOD(_step,90)+1</f>
        <v>1</v>
      </c>
      <c r="G2" s="2" t="s">
        <v>6</v>
      </c>
      <c r="H2" s="3" t="s">
        <v>3</v>
      </c>
      <c r="I2" s="3" t="s">
        <v>4</v>
      </c>
      <c r="J2" s="3" t="s">
        <v>5</v>
      </c>
    </row>
    <row r="3" spans="1:11" x14ac:dyDescent="0.25">
      <c r="A3" t="s">
        <v>20</v>
      </c>
      <c r="B3" t="b">
        <v>0</v>
      </c>
      <c r="D3" t="s">
        <v>43</v>
      </c>
      <c r="E3">
        <f>MAX(0.8,0.267*lai)*rain</f>
        <v>0</v>
      </c>
      <c r="G3" s="5" t="s">
        <v>0</v>
      </c>
    </row>
    <row r="4" spans="1:11" x14ac:dyDescent="0.25">
      <c r="G4" t="s">
        <v>7</v>
      </c>
      <c r="H4">
        <v>0.05</v>
      </c>
      <c r="I4">
        <v>0.25</v>
      </c>
      <c r="J4">
        <v>0.7</v>
      </c>
      <c r="K4" s="10"/>
    </row>
    <row r="5" spans="1:11" x14ac:dyDescent="0.25">
      <c r="A5" s="1" t="s">
        <v>49</v>
      </c>
      <c r="D5" s="5" t="s">
        <v>44</v>
      </c>
      <c r="G5" t="s">
        <v>8</v>
      </c>
      <c r="H5">
        <v>40</v>
      </c>
      <c r="I5">
        <v>40</v>
      </c>
      <c r="J5">
        <v>40</v>
      </c>
      <c r="K5" s="10"/>
    </row>
    <row r="6" spans="1:11" x14ac:dyDescent="0.25">
      <c r="A6" t="s">
        <v>40</v>
      </c>
      <c r="B6">
        <f>VLOOKUP(day,Table!A:E,2)</f>
        <v>0</v>
      </c>
      <c r="D6" t="s">
        <v>45</v>
      </c>
      <c r="E6">
        <v>0.73000000000000054</v>
      </c>
      <c r="G6" t="s">
        <v>9</v>
      </c>
      <c r="H6">
        <v>30</v>
      </c>
      <c r="I6">
        <v>30</v>
      </c>
      <c r="J6">
        <v>30</v>
      </c>
      <c r="K6" s="10"/>
    </row>
    <row r="7" spans="1:11" ht="21" x14ac:dyDescent="0.3">
      <c r="A7" t="s">
        <v>48</v>
      </c>
      <c r="B7">
        <f>VLOOKUP(day,Table!A:E,3)</f>
        <v>0.1</v>
      </c>
      <c r="D7" t="s">
        <v>46</v>
      </c>
      <c r="E7">
        <v>8.0000000000000002E-3</v>
      </c>
      <c r="G7" t="s">
        <v>10</v>
      </c>
      <c r="H7">
        <v>0.9</v>
      </c>
      <c r="I7">
        <v>0</v>
      </c>
      <c r="J7">
        <v>0</v>
      </c>
      <c r="K7" s="10"/>
    </row>
    <row r="8" spans="1:11" x14ac:dyDescent="0.25">
      <c r="A8" t="s">
        <v>130</v>
      </c>
      <c r="B8">
        <f>VLOOKUP(day,Table!A:E,4)</f>
        <v>0.1</v>
      </c>
      <c r="D8" t="s">
        <v>47</v>
      </c>
      <c r="E8">
        <f>MIN(cummthick_3, rootdepth+E7)</f>
        <v>0.73800000000000054</v>
      </c>
    </row>
    <row r="9" spans="1:11" x14ac:dyDescent="0.25">
      <c r="A9" t="s">
        <v>131</v>
      </c>
      <c r="B9">
        <f>VLOOKUP(day,Table!A:E,5)</f>
        <v>4.2</v>
      </c>
      <c r="G9" s="5" t="s">
        <v>24</v>
      </c>
    </row>
    <row r="10" spans="1:11" x14ac:dyDescent="0.25">
      <c r="D10" s="5" t="s">
        <v>118</v>
      </c>
      <c r="G10" t="s">
        <v>11</v>
      </c>
      <c r="H10">
        <f t="shared" ref="H10:J11" si="0">H5/100</f>
        <v>0.4</v>
      </c>
      <c r="I10">
        <f t="shared" si="0"/>
        <v>0.4</v>
      </c>
      <c r="J10">
        <f t="shared" si="0"/>
        <v>0.4</v>
      </c>
      <c r="K10" s="10"/>
    </row>
    <row r="11" spans="1:11" ht="20.25" x14ac:dyDescent="0.35">
      <c r="D11" t="s">
        <v>132</v>
      </c>
      <c r="E11">
        <f>1/(1+(3.6073*vwc_1/sat_1)^-9.3172)</f>
        <v>0.99996108705339737</v>
      </c>
      <c r="G11" t="s">
        <v>12</v>
      </c>
      <c r="H11">
        <f t="shared" si="0"/>
        <v>0.3</v>
      </c>
      <c r="I11">
        <f t="shared" si="0"/>
        <v>0.3</v>
      </c>
      <c r="J11">
        <f t="shared" si="0"/>
        <v>0.3</v>
      </c>
      <c r="K11" s="10"/>
    </row>
    <row r="12" spans="1:11" x14ac:dyDescent="0.25">
      <c r="D12" t="s">
        <v>126</v>
      </c>
      <c r="E12">
        <f>B9*E11</f>
        <v>4.1998365656242695</v>
      </c>
      <c r="G12" t="s">
        <v>13</v>
      </c>
      <c r="H12">
        <f>thick_1</f>
        <v>0.05</v>
      </c>
      <c r="I12">
        <f>cummthick_1+thick_2</f>
        <v>0.3</v>
      </c>
      <c r="J12">
        <f>cummthick_2+thick_3</f>
        <v>1</v>
      </c>
      <c r="K12" s="10"/>
    </row>
    <row r="13" spans="1:11" x14ac:dyDescent="0.25">
      <c r="G13" s="4" t="s">
        <v>14</v>
      </c>
      <c r="H13">
        <f>0.5*thick_1</f>
        <v>2.5000000000000001E-2</v>
      </c>
      <c r="I13">
        <f>depth_1+0.5*(thick_1+thick_2)</f>
        <v>0.17499999999999999</v>
      </c>
      <c r="J13">
        <f>depth_2+0.5*(thick_2+thick_3)</f>
        <v>0.64999999999999991</v>
      </c>
      <c r="K13" s="10"/>
    </row>
    <row r="14" spans="1:11" x14ac:dyDescent="0.25">
      <c r="D14" s="5" t="s">
        <v>124</v>
      </c>
      <c r="G14" s="4" t="s">
        <v>15</v>
      </c>
      <c r="H14">
        <f>depth_1</f>
        <v>2.5000000000000001E-2</v>
      </c>
      <c r="I14">
        <f>depth_2-depth_1</f>
        <v>0.15</v>
      </c>
      <c r="J14">
        <f>depth_3-depth_2</f>
        <v>0.47499999999999992</v>
      </c>
      <c r="K14" s="10"/>
    </row>
    <row r="15" spans="1:11" ht="21" x14ac:dyDescent="0.3">
      <c r="D15" s="7" t="s">
        <v>125</v>
      </c>
      <c r="E15">
        <f>1/rootdepth*SUM(H51:J51)</f>
        <v>0.459105363564494</v>
      </c>
      <c r="G15" s="4"/>
    </row>
    <row r="16" spans="1:11" ht="21" x14ac:dyDescent="0.3">
      <c r="D16" s="7" t="s">
        <v>61</v>
      </c>
      <c r="E16">
        <f>1/rootdepth*SUM(H52:J52)</f>
        <v>0.53982091286785761</v>
      </c>
      <c r="G16" s="5" t="s">
        <v>23</v>
      </c>
    </row>
    <row r="17" spans="4:11" ht="21.75" x14ac:dyDescent="0.35">
      <c r="D17" s="7" t="s">
        <v>63</v>
      </c>
      <c r="E17">
        <f>1/rootdepth*SUM(H53:J53)</f>
        <v>0.22605921698599826</v>
      </c>
      <c r="G17" s="7" t="s">
        <v>30</v>
      </c>
      <c r="H17">
        <f>-0.251*sand_1+0.195*clay_1+0.011*om_1+0.006*sand_1*om_1-0.027*clay_1*om_1+0.452*sand_1*clay_1+0.299</f>
        <v>0.31611</v>
      </c>
      <c r="I17">
        <f>-0.251*sand_2+0.195*clay_2+0.011*om_2+0.006*sand_2*om_2-0.027*clay_2*om_2+0.452*sand_2*clay_2+0.299</f>
        <v>0.31134000000000001</v>
      </c>
      <c r="J17">
        <f>-0.251*sand_3+0.195*clay_3+0.011*om_3+0.006*sand_3*om_3-0.027*clay_3*om_3+0.452*sand_3*clay_3+0.299</f>
        <v>0.31134000000000001</v>
      </c>
      <c r="K17" s="10"/>
    </row>
    <row r="18" spans="4:11" ht="20.25" x14ac:dyDescent="0.35">
      <c r="G18" s="7" t="s">
        <v>31</v>
      </c>
      <c r="H18">
        <f>theta33t_1+(1.283*theta33t_1^2-0.374*theta33t_1-0.015)</f>
        <v>0.31108931768429998</v>
      </c>
      <c r="I18">
        <f>theta33t_2+(1.283*theta33t_2^2-0.374*theta33t_2-0.015)</f>
        <v>0.30426336015479999</v>
      </c>
      <c r="J18">
        <f>theta33t_3+(1.283*theta33t_3^2-0.374*theta33t_3-0.015)</f>
        <v>0.30426336015479999</v>
      </c>
      <c r="K18" s="10"/>
    </row>
    <row r="19" spans="4:11" ht="20.25" x14ac:dyDescent="0.35">
      <c r="D19" s="5" t="s">
        <v>121</v>
      </c>
      <c r="G19" s="7" t="s">
        <v>32</v>
      </c>
      <c r="H19">
        <f>0.278*sand_1+0.034*clay_1+0.022*om_1-0.018*sand_1*om_1-0.027*clay_1*om_1-0.584*sand_1*clay_1+0.078</f>
        <v>0.13535000000000003</v>
      </c>
      <c r="I19">
        <f>0.278*sand_2+0.034*clay_2+0.022*om_2-0.018*sand_2*om_2-0.027*clay_2*om_2-0.584*sand_2*clay_2+0.078</f>
        <v>0.12932000000000002</v>
      </c>
      <c r="J19">
        <f>0.278*sand_3+0.034*clay_3+0.022*om_3-0.018*sand_3*om_3-0.027*clay_3*om_3-0.584*sand_3*clay_3+0.078</f>
        <v>0.12932000000000002</v>
      </c>
      <c r="K19" s="10"/>
    </row>
    <row r="20" spans="4:11" ht="21.75" x14ac:dyDescent="0.35">
      <c r="D20" s="7" t="s">
        <v>127</v>
      </c>
      <c r="E20">
        <f>pwp_root+0.5*(sat_root-pwp_root)</f>
        <v>0.38294006492692789</v>
      </c>
      <c r="G20" s="7" t="s">
        <v>33</v>
      </c>
      <c r="H20">
        <f>thetas33t_1+0.636*thetas33t_1-0.107</f>
        <v>0.11443260000000004</v>
      </c>
      <c r="I20">
        <f>thetas33t_2+0.636*thetas33t_2-0.107</f>
        <v>0.10456752000000004</v>
      </c>
      <c r="J20">
        <f>thetas33t_3+0.636*thetas33t_3-0.107</f>
        <v>0.10456752000000004</v>
      </c>
      <c r="K20" s="10"/>
    </row>
    <row r="21" spans="4:11" ht="20.25" x14ac:dyDescent="0.35">
      <c r="D21" t="s">
        <v>133</v>
      </c>
      <c r="E21">
        <f>(vwc_root-pwp_root)/(critical_root-pwp_root)</f>
        <v>1.485497749644014</v>
      </c>
      <c r="G21" s="7" t="s">
        <v>34</v>
      </c>
      <c r="H21">
        <f>-0.024*sand_1+0.487*clay_1+0.006*om_1+0.005*sand_1*om_1-0.013*clay_1*om_1+0.068*sand_1*clay_1+0.031</f>
        <v>0.17934999999999995</v>
      </c>
      <c r="I21">
        <f>-0.024*sand_2+0.487*clay_2+0.006*om_2+0.005*sand_2*om_2-0.013*clay_2*om_2+0.068*sand_2*clay_2+0.031</f>
        <v>0.17565999999999998</v>
      </c>
      <c r="J21">
        <f>-0.024*sand_3+0.487*clay_3+0.006*om_3+0.005*sand_3*om_3-0.013*clay_3*om_3+0.068*sand_3*clay_3+0.031</f>
        <v>0.17565999999999998</v>
      </c>
      <c r="K21" s="10"/>
    </row>
    <row r="22" spans="4:11" ht="20.25" x14ac:dyDescent="0.35">
      <c r="D22" t="s">
        <v>129</v>
      </c>
      <c r="E22">
        <f>IF(vwc_root&gt;=critical_root,1,IF(vwc_root&lt;=pwp_root,0,E21))</f>
        <v>1</v>
      </c>
      <c r="G22" s="7" t="s">
        <v>35</v>
      </c>
      <c r="H22">
        <f>theta1500t_1+(0.14*theta1500t_1-0.02)</f>
        <v>0.18445899999999996</v>
      </c>
      <c r="I22">
        <f>theta1500t_2+(0.14*theta1500t_2-0.02)</f>
        <v>0.18025239999999998</v>
      </c>
      <c r="J22">
        <f>theta1500t_3+(0.14*theta1500t_3-0.02)</f>
        <v>0.18025239999999998</v>
      </c>
      <c r="K22" s="10"/>
    </row>
    <row r="23" spans="4:11" ht="20.25" x14ac:dyDescent="0.35">
      <c r="D23" t="s">
        <v>128</v>
      </c>
      <c r="E23">
        <f>B8*E22</f>
        <v>0.1</v>
      </c>
      <c r="G23" s="7" t="s">
        <v>36</v>
      </c>
      <c r="H23">
        <f>theta33_1+thetas33_1-0.097*sand_1+0.043</f>
        <v>0.42972191768430001</v>
      </c>
      <c r="I23">
        <f>theta33_2+thetas33_2-0.097*sand_2+0.043</f>
        <v>0.4130308801548</v>
      </c>
      <c r="J23">
        <f>theta33_3+thetas33_3-0.097*sand_3+0.043</f>
        <v>0.4130308801548</v>
      </c>
      <c r="K23" s="10"/>
    </row>
    <row r="24" spans="4:11" x14ac:dyDescent="0.25">
      <c r="G24" s="6"/>
      <c r="K24" s="10"/>
    </row>
    <row r="25" spans="4:11" x14ac:dyDescent="0.25">
      <c r="G25" s="7" t="s">
        <v>16</v>
      </c>
      <c r="H25">
        <f>(LN(1500)-LN(33))/(LN(theta33_1)-LN(theta1500_1))</f>
        <v>7.3025772828078379</v>
      </c>
      <c r="I25">
        <f>(LN(1500)-LN(33))/(LN(theta33_2)-LN(theta1500_2))</f>
        <v>7.2902648403663077</v>
      </c>
      <c r="J25">
        <f>(LN(1500)-LN(33))/(LN(theta33_3)-LN(theta1500_3))</f>
        <v>7.2902648403663077</v>
      </c>
      <c r="K25" s="10"/>
    </row>
    <row r="26" spans="4:11" x14ac:dyDescent="0.25">
      <c r="G26" s="7" t="s">
        <v>58</v>
      </c>
      <c r="H26">
        <f>1/H25</f>
        <v>0.13693795509076767</v>
      </c>
      <c r="I26">
        <f>1/I25</f>
        <v>0.13716922799059161</v>
      </c>
      <c r="J26">
        <f>1/J25</f>
        <v>0.13716922799059161</v>
      </c>
      <c r="K26" s="10"/>
    </row>
    <row r="27" spans="4:11" x14ac:dyDescent="0.25">
      <c r="G27" s="6"/>
      <c r="K27" s="10"/>
    </row>
    <row r="28" spans="4:11" ht="21" x14ac:dyDescent="0.3">
      <c r="G28" s="7" t="s">
        <v>59</v>
      </c>
      <c r="H28">
        <f>theta0_1-theta33_1</f>
        <v>0.11863260000000003</v>
      </c>
      <c r="I28">
        <f>theta0_2-theta33_2</f>
        <v>0.10876752000000001</v>
      </c>
      <c r="J28">
        <f>theta0_3-theta33_3</f>
        <v>0.10876752000000001</v>
      </c>
      <c r="K28" s="10"/>
    </row>
    <row r="29" spans="4:11" x14ac:dyDescent="0.25">
      <c r="G29" s="7" t="s">
        <v>17</v>
      </c>
      <c r="H29">
        <f>-21.674*sand_1-27.932*clay_1-81.975*awc_1+71.121*sand_1*awc_1</f>
        <v>-23.399199727159999</v>
      </c>
      <c r="I29">
        <f>-21.674*sand_2-27.932*clay_2-81.975*awc_2+71.121*sand_2*awc_2</f>
        <v>-22.871155536031996</v>
      </c>
      <c r="J29">
        <f>-21.674*sand_3-27.932*clay_3-81.975*awc_3+71.121*sand_3*awc_3</f>
        <v>-22.871155536031996</v>
      </c>
      <c r="K29" s="10"/>
    </row>
    <row r="30" spans="4:11" x14ac:dyDescent="0.25">
      <c r="G30" s="7" t="s">
        <v>18</v>
      </c>
      <c r="H30">
        <f>8.294*clay_1*awc_1+14.05*sand_1*clay_1+27.161</f>
        <v>29.14218163532</v>
      </c>
      <c r="I30">
        <f>8.294*clay_2*awc_2+14.05*sand_2*clay_2+27.161</f>
        <v>29.117635343264002</v>
      </c>
      <c r="J30">
        <f>8.294*clay_3*awc_3+14.05*sand_3*clay_3+27.161</f>
        <v>29.117635343264002</v>
      </c>
      <c r="K30" s="10"/>
    </row>
    <row r="31" spans="4:11" x14ac:dyDescent="0.25">
      <c r="G31" s="7" t="s">
        <v>19</v>
      </c>
      <c r="H31">
        <f>H29+H30</f>
        <v>5.7429819081600009</v>
      </c>
      <c r="I31">
        <f>I29+I30</f>
        <v>6.2464798072320065</v>
      </c>
      <c r="J31">
        <f>J29+J30</f>
        <v>6.2464798072320065</v>
      </c>
      <c r="K31" s="10"/>
    </row>
    <row r="32" spans="4:11" x14ac:dyDescent="0.25">
      <c r="G32" s="7" t="s">
        <v>60</v>
      </c>
      <c r="H32">
        <f>MAX(0, aet_1+(0.02*aet_1^2-0.113*aet_1-0.7))</f>
        <v>5.0536617764869822</v>
      </c>
      <c r="I32">
        <f>MAX(0, aet_2+(0.02*aet_2^2-0.113*aet_2-0.7))</f>
        <v>5.6209977886579336</v>
      </c>
      <c r="J32">
        <f>MAX(0, aet_3+(0.02*aet_3^2-0.113*aet_3-0.7))</f>
        <v>5.6209977886579336</v>
      </c>
      <c r="K32" s="10"/>
    </row>
    <row r="33" spans="7:11" x14ac:dyDescent="0.25">
      <c r="G33" s="6"/>
      <c r="K33" s="10"/>
    </row>
    <row r="34" spans="7:11" ht="21" x14ac:dyDescent="0.3">
      <c r="G34" s="7" t="s">
        <v>61</v>
      </c>
      <c r="H34">
        <f>2.225*theta0_1*(1-theta0_1)</f>
        <v>0.54526070529991166</v>
      </c>
      <c r="I34">
        <f>2.225*theta0_2*(1-theta0_2)</f>
        <v>0.53942092813020659</v>
      </c>
      <c r="J34">
        <f>2.225*theta0_3*(1-theta0_3)</f>
        <v>0.53942092813020659</v>
      </c>
      <c r="K34" s="10"/>
    </row>
    <row r="35" spans="7:11" ht="21" x14ac:dyDescent="0.3">
      <c r="G35" s="7" t="s">
        <v>62</v>
      </c>
      <c r="H35">
        <f>1.605*theta33_1*(1-theta33_1)</f>
        <v>0.3439719703417618</v>
      </c>
      <c r="I35">
        <f>1.605*theta33_2*(1-theta33_2)</f>
        <v>0.33975790435448727</v>
      </c>
      <c r="J35">
        <f>1.605*theta33_3*(1-theta33_3)</f>
        <v>0.33975790435448727</v>
      </c>
      <c r="K35" s="10"/>
    </row>
    <row r="36" spans="7:11" ht="21" x14ac:dyDescent="0.3">
      <c r="G36" s="7" t="s">
        <v>63</v>
      </c>
      <c r="H36">
        <f>1.528*theta1500_1*(1-theta1500_1)</f>
        <v>0.22986296454343197</v>
      </c>
      <c r="I36">
        <f>1.528*theta1500_2*(1-theta1500_2)</f>
        <v>0.22577952966559869</v>
      </c>
      <c r="J36">
        <f>1.528*theta1500_3*(1-theta1500_3)</f>
        <v>0.22577952966559869</v>
      </c>
      <c r="K36" s="10"/>
    </row>
    <row r="37" spans="7:11" x14ac:dyDescent="0.25">
      <c r="G37" s="7"/>
    </row>
    <row r="38" spans="7:11" x14ac:dyDescent="0.25">
      <c r="G38" s="8" t="s">
        <v>22</v>
      </c>
      <c r="K38" s="13" t="s">
        <v>114</v>
      </c>
    </row>
    <row r="39" spans="7:11" ht="20.25" x14ac:dyDescent="0.35">
      <c r="G39" s="7" t="s">
        <v>26</v>
      </c>
      <c r="H39">
        <f>(33-(33-ae_1)*(vwc_1-fc_1)/(sat_1-fc_1))/10.2</f>
        <v>1.7989229643099729</v>
      </c>
      <c r="I39">
        <f>(33-(33-ae_2)*(vwc_2-fc_2)/(sat_2-fc_2))/10.2</f>
        <v>1.7371135329543561</v>
      </c>
      <c r="J39">
        <f>(33-(33-ae_3)*(vwc_3-fc_3)/(sat_3-fc_3))/10.2</f>
        <v>1.5540021175432024</v>
      </c>
      <c r="K39">
        <f>(33-(33-ae_3))/10.2</f>
        <v>0.55107821457430739</v>
      </c>
    </row>
    <row r="40" spans="7:11" ht="20.25" x14ac:dyDescent="0.35">
      <c r="G40" s="7" t="s">
        <v>27</v>
      </c>
      <c r="H40">
        <f>(EXP(3.496508+H25*LN(fc_1))*MAX(0.05,vwc_1)^-H25)/10.2</f>
        <v>0.45847640214264734</v>
      </c>
      <c r="I40">
        <f>(EXP(3.496508+I25*LN(fc_2))*MAX(0.05,vwc_2)^-I25)/10.2</f>
        <v>0.40903987987403989</v>
      </c>
      <c r="J40">
        <f>(EXP(3.496508+J25*LN(fc_3))*MAX(0.05,vwc_3)^-J25)/10.2</f>
        <v>0.329308130377089</v>
      </c>
    </row>
    <row r="41" spans="7:11" ht="20.25" x14ac:dyDescent="0.35">
      <c r="G41" s="7" t="s">
        <v>28</v>
      </c>
      <c r="H41">
        <f>IF(vwc_1&gt;=fc_1,H39,H40)</f>
        <v>1.7989229643099729</v>
      </c>
      <c r="I41">
        <f>IF(vwc_2&gt;=fc_2,I39,I40)</f>
        <v>1.7371135329543561</v>
      </c>
      <c r="J41">
        <f>IF(vwc_3&gt;=fc_3,J39,J40)</f>
        <v>1.5540021175432024</v>
      </c>
      <c r="K41">
        <f>K39</f>
        <v>0.55107821457430739</v>
      </c>
    </row>
    <row r="42" spans="7:11" ht="20.25" x14ac:dyDescent="0.35">
      <c r="G42" s="7" t="s">
        <v>29</v>
      </c>
      <c r="H42">
        <f>depth_1</f>
        <v>2.5000000000000001E-2</v>
      </c>
      <c r="I42">
        <f>depth_2</f>
        <v>0.17499999999999999</v>
      </c>
      <c r="J42">
        <f>depth_3</f>
        <v>0.64999999999999991</v>
      </c>
      <c r="K42">
        <f>cummthick_3</f>
        <v>1</v>
      </c>
    </row>
    <row r="43" spans="7:11" x14ac:dyDescent="0.25">
      <c r="G43" s="7" t="s">
        <v>25</v>
      </c>
      <c r="H43">
        <f>hm_1+hg_1</f>
        <v>1.8239229643099728</v>
      </c>
      <c r="I43">
        <f>hm_2+hg_2</f>
        <v>1.9121135329543562</v>
      </c>
      <c r="J43">
        <f>hm_3+hg_3</f>
        <v>2.2040021175432023</v>
      </c>
      <c r="K43">
        <f>K41+K42</f>
        <v>1.5510782145743074</v>
      </c>
    </row>
    <row r="44" spans="7:11" x14ac:dyDescent="0.25">
      <c r="G44" s="7"/>
    </row>
    <row r="45" spans="7:11" x14ac:dyDescent="0.25">
      <c r="G45" s="8" t="s">
        <v>21</v>
      </c>
    </row>
    <row r="46" spans="7:11" ht="20.25" x14ac:dyDescent="0.35">
      <c r="G46" s="7" t="s">
        <v>37</v>
      </c>
      <c r="H46">
        <f>1930*awc_1^(3-psd_1)*24/1000</f>
        <v>0.10355171623684277</v>
      </c>
      <c r="I46">
        <f>1930*awc_2^(3-psd_2)*24/1000</f>
        <v>8.0803260800689114E-2</v>
      </c>
      <c r="J46">
        <f>1930*awc_3^(3-psd_3)*24/1000</f>
        <v>8.0803260800689114E-2</v>
      </c>
    </row>
    <row r="47" spans="7:11" x14ac:dyDescent="0.25">
      <c r="G47" s="7" t="s">
        <v>38</v>
      </c>
      <c r="H47">
        <f>IF(hm_1&gt;(ae_1/10.2),ksat_1*(vwc_1/sat_1)^(3+2/psd_1),ksat_1)</f>
        <v>3.455470019218556E-3</v>
      </c>
      <c r="I47">
        <f>IF(hm_2&gt;(ae_2/10.2),ksat_2*(vwc_2/sat_2)^(3+2/psd_2),ksat_2)</f>
        <v>3.4985214125930137E-3</v>
      </c>
      <c r="J47">
        <f>IF(hm_3&gt;(ae_3/10.2),ksat_3*(vwc_3/sat_3)^(3+2/psd_3),ksat_3)</f>
        <v>5.9014647050815439E-3</v>
      </c>
    </row>
    <row r="48" spans="7:11" x14ac:dyDescent="0.25">
      <c r="G48" s="6"/>
    </row>
    <row r="49" spans="7:11" x14ac:dyDescent="0.25">
      <c r="G49" s="8" t="s">
        <v>119</v>
      </c>
    </row>
    <row r="50" spans="7:11" ht="20.25" x14ac:dyDescent="0.35">
      <c r="G50" s="6" t="s">
        <v>120</v>
      </c>
      <c r="H50">
        <f>MAX(0,cummthick_1-rootdepth)</f>
        <v>0</v>
      </c>
      <c r="I50">
        <f>MAX(0,cummthick_2-rootdepth)</f>
        <v>0</v>
      </c>
      <c r="J50">
        <f>MAX(0,cummthick_3-rootdepth)</f>
        <v>0.26999999999999946</v>
      </c>
    </row>
    <row r="51" spans="7:11" x14ac:dyDescent="0.25">
      <c r="G51" s="6" t="s">
        <v>75</v>
      </c>
      <c r="H51">
        <f>MAX(0,vwc_1*(thick_1-H50))</f>
        <v>2.247492196015707E-2</v>
      </c>
      <c r="I51">
        <f>MAX(0,vwc_2*(thick_2-I50))</f>
        <v>0.11279968522449928</v>
      </c>
      <c r="J51">
        <f>MAX(0,vwc_3*(thick_3-J50))</f>
        <v>0.19987230821742452</v>
      </c>
    </row>
    <row r="52" spans="7:11" x14ac:dyDescent="0.25">
      <c r="G52" s="6" t="s">
        <v>122</v>
      </c>
      <c r="H52">
        <f>MAX(0,sat_1*(thick_1-H50))</f>
        <v>2.7263035264995586E-2</v>
      </c>
      <c r="I52">
        <f>MAX(0,sat_2*(thick_2-I50))</f>
        <v>0.13485523203255165</v>
      </c>
      <c r="J52">
        <f>MAX(0,sat_3*(thick_3-J50))</f>
        <v>0.2319509990959891</v>
      </c>
    </row>
    <row r="53" spans="7:11" x14ac:dyDescent="0.25">
      <c r="G53" s="6" t="s">
        <v>123</v>
      </c>
      <c r="H53">
        <f>MAX(0,pwp_1*(thick_1-H50))</f>
        <v>1.1493148227171599E-2</v>
      </c>
      <c r="I53">
        <f>MAX(0,pwp_2*(thick_2-I50))</f>
        <v>5.6444882416399673E-2</v>
      </c>
      <c r="J53">
        <f>MAX(0,pwp_3*(thick_3-J50))</f>
        <v>9.7085197756207553E-2</v>
      </c>
    </row>
    <row r="54" spans="7:11" x14ac:dyDescent="0.25">
      <c r="G54" s="6"/>
    </row>
    <row r="55" spans="7:11" x14ac:dyDescent="0.25">
      <c r="G55" s="8" t="s">
        <v>52</v>
      </c>
    </row>
    <row r="56" spans="7:11" x14ac:dyDescent="0.25">
      <c r="G56" t="s">
        <v>50</v>
      </c>
      <c r="H56">
        <f>e/1000</f>
        <v>4.1998365656242698E-3</v>
      </c>
      <c r="I56">
        <v>0</v>
      </c>
      <c r="J56">
        <v>0</v>
      </c>
    </row>
    <row r="57" spans="7:11" ht="15" customHeight="1" x14ac:dyDescent="0.25">
      <c r="G57" t="s">
        <v>55</v>
      </c>
      <c r="H57">
        <f>MIN(1, cummthick_1/rootdepth)</f>
        <v>6.8493150684931461E-2</v>
      </c>
      <c r="I57">
        <f>MIN(1, cummthick_2/rootdepth)</f>
        <v>0.41095890410958874</v>
      </c>
      <c r="J57">
        <f>MIN(1, cummthick_3/rootdepth)</f>
        <v>1</v>
      </c>
    </row>
    <row r="58" spans="7:11" ht="15" customHeight="1" x14ac:dyDescent="0.25">
      <c r="G58" s="11" t="s">
        <v>54</v>
      </c>
      <c r="H58">
        <f>1.8*H57-0.8*H57^2</f>
        <v>0.11953462188027765</v>
      </c>
      <c r="I58">
        <f>1.8*I57-0.8*I57^2</f>
        <v>0.60461625070369651</v>
      </c>
      <c r="J58">
        <f>1.8*J57-0.8*J57^2</f>
        <v>1</v>
      </c>
    </row>
    <row r="59" spans="7:11" x14ac:dyDescent="0.25">
      <c r="G59" t="s">
        <v>51</v>
      </c>
      <c r="H59">
        <f>t*(H58-0)/1000</f>
        <v>1.1953462188027765E-5</v>
      </c>
      <c r="I59">
        <f>t*(I58-H58)/1000</f>
        <v>4.8508162882341889E-5</v>
      </c>
      <c r="J59">
        <f>t*(J58-I58)/1000</f>
        <v>3.9538374929630352E-5</v>
      </c>
    </row>
    <row r="61" spans="7:11" x14ac:dyDescent="0.25">
      <c r="G61" s="5" t="s">
        <v>65</v>
      </c>
    </row>
    <row r="62" spans="7:11" x14ac:dyDescent="0.25">
      <c r="G62" t="s">
        <v>64</v>
      </c>
      <c r="H62" s="10" t="s">
        <v>53</v>
      </c>
      <c r="I62">
        <f>IFERROR((k_2-k_1)/(LN(k_2)-LN(k_1)),k_2)</f>
        <v>3.4769512943810328E-3</v>
      </c>
      <c r="J62">
        <f>IFERROR((k_3-k_2)/(LN(k_3)-LN(k_2)),k_3)</f>
        <v>4.5957667547409896E-3</v>
      </c>
      <c r="K62">
        <f>IFERROR((ksat_3-k_3)/(LN(ksat_3)-LN(k_3)),ksat_3)</f>
        <v>2.8623248537114718E-2</v>
      </c>
    </row>
    <row r="63" spans="7:11" x14ac:dyDescent="0.25">
      <c r="G63" t="s">
        <v>71</v>
      </c>
      <c r="H63">
        <f>MIN(netrain/1000,ksat_1)-e_1-t_1</f>
        <v>-4.2117900278122976E-3</v>
      </c>
      <c r="I63">
        <f>kmean_2*(h_2-h_1)/(depth_2-depth_1)-t_2</f>
        <v>1.9957205824529117E-3</v>
      </c>
      <c r="J63">
        <f>kmean_3*(h_3-h_2)/(depth_3-depth_2)-t_3</f>
        <v>2.7845707895794696E-3</v>
      </c>
      <c r="K63">
        <f>K62*(K43-h_3)/(thick_3*0.5)</f>
        <v>-5.3396580430004725E-2</v>
      </c>
    </row>
    <row r="64" spans="7:11" x14ac:dyDescent="0.25">
      <c r="G64" t="s">
        <v>66</v>
      </c>
      <c r="H64">
        <f>I63</f>
        <v>1.9957205824529117E-3</v>
      </c>
      <c r="I64">
        <f>J63</f>
        <v>2.7845707895794696E-3</v>
      </c>
      <c r="J64">
        <f>IF(has_watertable,K63,k_3)</f>
        <v>5.9014647050815439E-3</v>
      </c>
    </row>
    <row r="66" spans="7:10" x14ac:dyDescent="0.25">
      <c r="G66" t="s">
        <v>56</v>
      </c>
      <c r="H66">
        <f>vwc_1*thick_1</f>
        <v>2.247492196015707E-2</v>
      </c>
      <c r="I66">
        <f>vwc_2*thick_2</f>
        <v>0.11279968522449928</v>
      </c>
      <c r="J66">
        <f>vwc_3*thick_3</f>
        <v>0.3253735250051093</v>
      </c>
    </row>
    <row r="67" spans="7:10" x14ac:dyDescent="0.25">
      <c r="G67" t="s">
        <v>69</v>
      </c>
      <c r="H67">
        <f>H63+wc_1-H64</f>
        <v>1.6267411349891861E-2</v>
      </c>
      <c r="I67">
        <f>I63+wc_2-I64</f>
        <v>0.11201083501737272</v>
      </c>
      <c r="J67">
        <f>J63+wc_3-J64</f>
        <v>0.32225663108960723</v>
      </c>
    </row>
    <row r="68" spans="7:10" x14ac:dyDescent="0.25">
      <c r="G68" t="s">
        <v>57</v>
      </c>
      <c r="H68">
        <f>thick_1*0.005</f>
        <v>2.5000000000000001E-4</v>
      </c>
      <c r="I68">
        <f>thick_2*0.005</f>
        <v>1.25E-3</v>
      </c>
      <c r="J68">
        <f>thick_3*0.005</f>
        <v>3.4999999999999996E-3</v>
      </c>
    </row>
    <row r="69" spans="7:10" x14ac:dyDescent="0.25">
      <c r="G69" t="s">
        <v>68</v>
      </c>
      <c r="H69">
        <f>thick_1*sat_1</f>
        <v>2.7263035264995586E-2</v>
      </c>
      <c r="I69">
        <f>thick_2*sat_2</f>
        <v>0.13485523203255165</v>
      </c>
      <c r="J69">
        <f>thick_3*sat_3</f>
        <v>0.37759464969114459</v>
      </c>
    </row>
    <row r="70" spans="7:10" x14ac:dyDescent="0.25">
      <c r="G70" t="s">
        <v>72</v>
      </c>
      <c r="H70">
        <f>H63+wc_1-H68</f>
        <v>1.8013131932344773E-2</v>
      </c>
      <c r="I70">
        <f>I63+wc_2-I68</f>
        <v>0.11354540580695219</v>
      </c>
      <c r="J70">
        <f>J63+wc_3-J68</f>
        <v>0.32465809579468874</v>
      </c>
    </row>
    <row r="71" spans="7:10" x14ac:dyDescent="0.25">
      <c r="G71" t="s">
        <v>73</v>
      </c>
      <c r="H71">
        <f>H63+wc_1-H69</f>
        <v>-8.9999033326508132E-3</v>
      </c>
      <c r="I71">
        <f>I63+wc_2-I69</f>
        <v>-2.0059826225599459E-2</v>
      </c>
      <c r="J71">
        <f>J63+wc_3-J69</f>
        <v>-4.9436553896455848E-2</v>
      </c>
    </row>
    <row r="72" spans="7:10" x14ac:dyDescent="0.25">
      <c r="G72" t="s">
        <v>67</v>
      </c>
      <c r="H72">
        <f>IF(H67&lt;H68,H70,IF(H67&gt;H69,H71,H64))</f>
        <v>1.9957205824529117E-3</v>
      </c>
      <c r="I72">
        <f>IF(I67&lt;I68,I70,IF(I67&gt;I69,I71,I64))</f>
        <v>2.7845707895794696E-3</v>
      </c>
      <c r="J72">
        <f>IF(J67&lt;J68,J70,IF(J67&gt;J69,J71,J64))</f>
        <v>5.9014647050815439E-3</v>
      </c>
    </row>
    <row r="74" spans="7:10" x14ac:dyDescent="0.25">
      <c r="G74" t="s">
        <v>70</v>
      </c>
      <c r="H74">
        <f>H63</f>
        <v>-4.2117900278122976E-3</v>
      </c>
      <c r="I74">
        <f>H72</f>
        <v>1.9957205824529117E-3</v>
      </c>
      <c r="J74">
        <f>I72</f>
        <v>2.7845707895794696E-3</v>
      </c>
    </row>
    <row r="75" spans="7:10" x14ac:dyDescent="0.25">
      <c r="G75" t="s">
        <v>74</v>
      </c>
      <c r="H75">
        <f>(H74-H72)/numintervals</f>
        <v>-3.1037553051326043E-5</v>
      </c>
      <c r="I75">
        <f>(I74-I72)/numintervals</f>
        <v>-3.9442510356327895E-6</v>
      </c>
      <c r="J75">
        <f>(J74-J72)/numintervals</f>
        <v>-1.5584469577510372E-5</v>
      </c>
    </row>
    <row r="76" spans="7:10" x14ac:dyDescent="0.25">
      <c r="G76" t="s">
        <v>75</v>
      </c>
      <c r="H76">
        <f>wc_1+H75</f>
        <v>2.2443884407105746E-2</v>
      </c>
      <c r="I76">
        <f>wc_2+I75</f>
        <v>0.11279574097346365</v>
      </c>
      <c r="J76">
        <f>wc_3+J75</f>
        <v>0.3253579405355318</v>
      </c>
    </row>
    <row r="78" spans="7:10" ht="21" x14ac:dyDescent="0.3">
      <c r="G78" s="7" t="s">
        <v>77</v>
      </c>
      <c r="H78">
        <v>0.44949843920314136</v>
      </c>
      <c r="I78">
        <v>0.45119874089799711</v>
      </c>
      <c r="J78">
        <v>0.46481932143587046</v>
      </c>
    </row>
    <row r="79" spans="7:10" ht="21" x14ac:dyDescent="0.3">
      <c r="G79" s="7" t="s">
        <v>76</v>
      </c>
      <c r="H79">
        <f>MAX(0.005,MIN(sat_1,H76/thick_1))</f>
        <v>0.44887768814211487</v>
      </c>
      <c r="I79">
        <f>MAX(0.005,MIN(sat_2,I76/thick_2))</f>
        <v>0.45118296389385459</v>
      </c>
      <c r="J79">
        <f>MAX(0.005,MIN(sat_3,J76/thick_3))</f>
        <v>0.4647970579079026</v>
      </c>
    </row>
  </sheetData>
  <dataValidations count="1">
    <dataValidation type="list" showInputMessage="1" showErrorMessage="1" sqref="B3">
      <formula1>"TRUE, FALSE"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abSelected="1" zoomScaleNormal="100" workbookViewId="0">
      <selection activeCell="F37" sqref="F37"/>
    </sheetView>
  </sheetViews>
  <sheetFormatPr defaultRowHeight="15" x14ac:dyDescent="0.25"/>
  <cols>
    <col min="1" max="1" width="4.28515625" customWidth="1"/>
    <col min="2" max="7" width="5.28515625" customWidth="1"/>
    <col min="8" max="10" width="4.85546875" customWidth="1"/>
    <col min="11" max="11" width="4.5703125" customWidth="1"/>
    <col min="12" max="12" width="9.42578125" customWidth="1"/>
    <col min="13" max="14" width="4.28515625" customWidth="1"/>
    <col min="15" max="15" width="6.85546875" customWidth="1"/>
    <col min="16" max="16" width="4" customWidth="1"/>
  </cols>
  <sheetData>
    <row r="1" spans="1:16" x14ac:dyDescent="0.25">
      <c r="A1" s="1" t="s">
        <v>96</v>
      </c>
    </row>
    <row r="2" spans="1:16" x14ac:dyDescent="0.25">
      <c r="A2" s="12" t="s">
        <v>95</v>
      </c>
      <c r="B2" s="12" t="s">
        <v>97</v>
      </c>
      <c r="C2" s="12" t="s">
        <v>98</v>
      </c>
      <c r="D2" s="12" t="s">
        <v>99</v>
      </c>
      <c r="E2" s="12" t="s">
        <v>100</v>
      </c>
      <c r="F2" s="12" t="s">
        <v>101</v>
      </c>
      <c r="G2" s="12" t="s">
        <v>102</v>
      </c>
      <c r="H2" s="12" t="s">
        <v>111</v>
      </c>
      <c r="I2" s="12" t="s">
        <v>112</v>
      </c>
      <c r="J2" s="12" t="s">
        <v>113</v>
      </c>
      <c r="K2" s="12" t="s">
        <v>103</v>
      </c>
      <c r="L2" s="12" t="s">
        <v>110</v>
      </c>
      <c r="M2" s="12" t="s">
        <v>135</v>
      </c>
      <c r="N2" s="12" t="s">
        <v>136</v>
      </c>
      <c r="O2" s="12" t="s">
        <v>134</v>
      </c>
      <c r="P2" s="12" t="s">
        <v>104</v>
      </c>
    </row>
    <row r="3" spans="1:16" x14ac:dyDescent="0.25">
      <c r="A3">
        <f>day</f>
        <v>1</v>
      </c>
      <c r="B3">
        <f>vwc_1</f>
        <v>0.44949843920314136</v>
      </c>
      <c r="C3">
        <f>vwc_2</f>
        <v>0.45119874089799711</v>
      </c>
      <c r="D3">
        <f>vwc_3</f>
        <v>0.46481932143587046</v>
      </c>
      <c r="E3">
        <f>wc_1*1000</f>
        <v>22.474921960157069</v>
      </c>
      <c r="F3">
        <f>wc_2*1000</f>
        <v>112.79968522449927</v>
      </c>
      <c r="G3">
        <f>wc_3*1000</f>
        <v>325.37352500510929</v>
      </c>
      <c r="H3">
        <f>t_1*1000</f>
        <v>1.1953462188027765E-2</v>
      </c>
      <c r="I3">
        <f>t_2*1000</f>
        <v>4.8508162882341888E-2</v>
      </c>
      <c r="J3">
        <f>t_3*1000</f>
        <v>3.9538374929630353E-2</v>
      </c>
      <c r="K3">
        <f>rain</f>
        <v>0</v>
      </c>
      <c r="L3">
        <f>rootdepth</f>
        <v>0.73000000000000054</v>
      </c>
      <c r="M3">
        <f>e</f>
        <v>4.1998365656242695</v>
      </c>
      <c r="N3">
        <f>t</f>
        <v>0.1</v>
      </c>
      <c r="O3">
        <f>M3+N3</f>
        <v>4.2998365656242692</v>
      </c>
      <c r="P3">
        <f>lai</f>
        <v>0.1</v>
      </c>
    </row>
    <row r="6" spans="1:16" x14ac:dyDescent="0.25">
      <c r="A6" s="1" t="s">
        <v>105</v>
      </c>
    </row>
    <row r="7" spans="1:16" x14ac:dyDescent="0.25">
      <c r="A7">
        <v>1</v>
      </c>
      <c r="B7">
        <v>0.32550376340909548</v>
      </c>
      <c r="C7">
        <v>0.39621035328698506</v>
      </c>
      <c r="D7">
        <v>0.39995802811012643</v>
      </c>
      <c r="E7">
        <v>16.275188170454776</v>
      </c>
      <c r="F7">
        <v>99.052588321746271</v>
      </c>
      <c r="G7">
        <v>279.97061967708845</v>
      </c>
      <c r="H7">
        <v>6.0647738716371004E-2</v>
      </c>
      <c r="I7">
        <v>0</v>
      </c>
      <c r="J7">
        <v>0</v>
      </c>
      <c r="K7">
        <v>0</v>
      </c>
      <c r="L7">
        <v>1.8000000000000002E-2</v>
      </c>
      <c r="M7">
        <v>4.196696070929999</v>
      </c>
      <c r="N7">
        <v>6.0647738716371004E-2</v>
      </c>
      <c r="O7">
        <v>4.25734380964637</v>
      </c>
      <c r="P7">
        <v>0.1</v>
      </c>
    </row>
    <row r="8" spans="1:16" x14ac:dyDescent="0.25">
      <c r="A8">
        <v>2</v>
      </c>
      <c r="B8">
        <v>0.30310448918697214</v>
      </c>
      <c r="C8">
        <v>0.38777708359748264</v>
      </c>
      <c r="D8">
        <v>0.39975786143027464</v>
      </c>
      <c r="E8">
        <v>15.155224459348608</v>
      </c>
      <c r="F8">
        <v>96.944270899370665</v>
      </c>
      <c r="G8">
        <v>279.8305030011922</v>
      </c>
      <c r="H8">
        <v>4.6443912038095628E-2</v>
      </c>
      <c r="I8">
        <v>0</v>
      </c>
      <c r="J8">
        <v>0</v>
      </c>
      <c r="K8">
        <v>0</v>
      </c>
      <c r="L8">
        <v>2.6000000000000002E-2</v>
      </c>
      <c r="M8">
        <v>2.8955705294056351</v>
      </c>
      <c r="N8">
        <v>4.6443912038095628E-2</v>
      </c>
      <c r="O8">
        <v>2.9420144414437308</v>
      </c>
      <c r="P8">
        <v>0.1</v>
      </c>
    </row>
    <row r="9" spans="1:16" x14ac:dyDescent="0.25">
      <c r="A9">
        <v>3</v>
      </c>
      <c r="B9">
        <v>0.39897290205651703</v>
      </c>
      <c r="C9">
        <v>0.38539832203423824</v>
      </c>
      <c r="D9">
        <v>0.39943740252455001</v>
      </c>
      <c r="E9">
        <v>19.948645102825854</v>
      </c>
      <c r="F9">
        <v>96.349580508559555</v>
      </c>
      <c r="G9">
        <v>279.60618176718498</v>
      </c>
      <c r="H9">
        <v>0.4</v>
      </c>
      <c r="I9">
        <v>0</v>
      </c>
      <c r="J9">
        <v>0</v>
      </c>
      <c r="K9">
        <v>12.5</v>
      </c>
      <c r="L9">
        <v>3.4000000000000002E-2</v>
      </c>
      <c r="M9">
        <v>5.2993736388842176</v>
      </c>
      <c r="N9">
        <v>0.4</v>
      </c>
      <c r="O9">
        <v>5.699373638884218</v>
      </c>
      <c r="P9">
        <v>0.2</v>
      </c>
    </row>
    <row r="10" spans="1:16" x14ac:dyDescent="0.25">
      <c r="A10">
        <v>4</v>
      </c>
      <c r="B10">
        <v>0.39958994350876131</v>
      </c>
      <c r="C10">
        <v>0.38697925843345049</v>
      </c>
      <c r="D10">
        <v>0.39913231236297836</v>
      </c>
      <c r="E10">
        <v>19.979497175438066</v>
      </c>
      <c r="F10">
        <v>96.744814608362617</v>
      </c>
      <c r="G10">
        <v>279.3926186540848</v>
      </c>
      <c r="H10">
        <v>0.3</v>
      </c>
      <c r="I10">
        <v>0</v>
      </c>
      <c r="J10">
        <v>0</v>
      </c>
      <c r="K10">
        <v>5.9</v>
      </c>
      <c r="L10">
        <v>4.2000000000000003E-2</v>
      </c>
      <c r="M10">
        <v>3.7995573300816639</v>
      </c>
      <c r="N10">
        <v>0.3</v>
      </c>
      <c r="O10">
        <v>4.0995573300816641</v>
      </c>
      <c r="P10">
        <v>0.2</v>
      </c>
    </row>
    <row r="11" spans="1:16" x14ac:dyDescent="0.25">
      <c r="A11">
        <v>5</v>
      </c>
      <c r="B11">
        <v>0.42307576349070963</v>
      </c>
      <c r="C11">
        <v>0.392070993654205</v>
      </c>
      <c r="D11">
        <v>0.39888967298117728</v>
      </c>
      <c r="E11">
        <v>21.153788174535482</v>
      </c>
      <c r="F11">
        <v>98.017748413551246</v>
      </c>
      <c r="G11">
        <v>279.22277108682408</v>
      </c>
      <c r="H11">
        <v>0.3</v>
      </c>
      <c r="I11">
        <v>0</v>
      </c>
      <c r="J11">
        <v>0</v>
      </c>
      <c r="K11">
        <v>8.1</v>
      </c>
      <c r="L11">
        <v>0.05</v>
      </c>
      <c r="M11">
        <v>3.4997605111708903</v>
      </c>
      <c r="N11">
        <v>0.3</v>
      </c>
      <c r="O11">
        <v>3.7997605111708901</v>
      </c>
      <c r="P11">
        <v>0.2</v>
      </c>
    </row>
    <row r="12" spans="1:16" x14ac:dyDescent="0.25">
      <c r="A12">
        <v>6</v>
      </c>
      <c r="B12">
        <v>0.3481553551258294</v>
      </c>
      <c r="C12">
        <v>0.39163296461422281</v>
      </c>
      <c r="D12">
        <v>0.39872837071972789</v>
      </c>
      <c r="E12">
        <v>17.40776775629147</v>
      </c>
      <c r="F12">
        <v>97.908241153555707</v>
      </c>
      <c r="G12">
        <v>279.1098595038095</v>
      </c>
      <c r="H12">
        <v>0.3033628268874472</v>
      </c>
      <c r="I12">
        <v>1.3566536357699471E-2</v>
      </c>
      <c r="J12">
        <v>0</v>
      </c>
      <c r="K12">
        <v>0</v>
      </c>
      <c r="L12">
        <v>5.8000000000000003E-2</v>
      </c>
      <c r="M12">
        <v>3.1986545446400161</v>
      </c>
      <c r="N12">
        <v>0.31692936324514664</v>
      </c>
      <c r="O12">
        <v>3.515583907885163</v>
      </c>
      <c r="P12">
        <v>0.3</v>
      </c>
    </row>
    <row r="13" spans="1:16" x14ac:dyDescent="0.25">
      <c r="A13">
        <v>7</v>
      </c>
      <c r="B13">
        <v>0.31417042606340512</v>
      </c>
      <c r="C13">
        <v>0.38667850331833126</v>
      </c>
      <c r="D13">
        <v>0.398508578677643</v>
      </c>
      <c r="E13">
        <v>15.708521303170256</v>
      </c>
      <c r="F13">
        <v>96.669625829582813</v>
      </c>
      <c r="G13">
        <v>278.95600507435012</v>
      </c>
      <c r="H13">
        <v>0.17725479034509475</v>
      </c>
      <c r="I13">
        <v>1.8715226594812017E-2</v>
      </c>
      <c r="J13">
        <v>0</v>
      </c>
      <c r="K13">
        <v>0</v>
      </c>
      <c r="L13">
        <v>6.6000000000000003E-2</v>
      </c>
      <c r="M13">
        <v>2.4972648185127024</v>
      </c>
      <c r="N13">
        <v>0.19597001693990676</v>
      </c>
      <c r="O13">
        <v>2.6932348354526092</v>
      </c>
      <c r="P13">
        <v>0.3</v>
      </c>
    </row>
    <row r="14" spans="1:16" x14ac:dyDescent="0.25">
      <c r="A14">
        <v>8</v>
      </c>
      <c r="B14">
        <v>0.37499313178339327</v>
      </c>
      <c r="C14">
        <v>0.38393539874479476</v>
      </c>
      <c r="D14">
        <v>0.39820892635208338</v>
      </c>
      <c r="E14">
        <v>18.749656589169664</v>
      </c>
      <c r="F14">
        <v>95.983849686198695</v>
      </c>
      <c r="G14">
        <v>278.74624844645837</v>
      </c>
      <c r="H14">
        <v>0.4037085210025409</v>
      </c>
      <c r="I14">
        <v>7.0692307540359045E-2</v>
      </c>
      <c r="J14">
        <v>0</v>
      </c>
      <c r="K14">
        <v>9.5</v>
      </c>
      <c r="L14">
        <v>7.400000000000001E-2</v>
      </c>
      <c r="M14">
        <v>4.6990104756421305</v>
      </c>
      <c r="N14">
        <v>0.47440082854289994</v>
      </c>
      <c r="O14">
        <v>5.1734113041850307</v>
      </c>
      <c r="P14">
        <v>0.3</v>
      </c>
    </row>
    <row r="15" spans="1:16" x14ac:dyDescent="0.25">
      <c r="A15">
        <v>9</v>
      </c>
      <c r="B15">
        <v>0.31896177008562471</v>
      </c>
      <c r="C15">
        <v>0.38138755364123628</v>
      </c>
      <c r="D15">
        <v>0.39788714766125222</v>
      </c>
      <c r="E15">
        <v>15.948088504281237</v>
      </c>
      <c r="F15">
        <v>95.346888410309063</v>
      </c>
      <c r="G15">
        <v>278.52100336287657</v>
      </c>
      <c r="H15">
        <v>0.23400820452342561</v>
      </c>
      <c r="I15">
        <v>5.8458555182060244E-2</v>
      </c>
      <c r="J15">
        <v>0</v>
      </c>
      <c r="K15">
        <v>0</v>
      </c>
      <c r="L15">
        <v>8.2000000000000017E-2</v>
      </c>
      <c r="M15">
        <v>2.9971490811973953</v>
      </c>
      <c r="N15">
        <v>0.29246675970548586</v>
      </c>
      <c r="O15">
        <v>3.2896158409028811</v>
      </c>
      <c r="P15">
        <v>0.4</v>
      </c>
    </row>
    <row r="16" spans="1:16" x14ac:dyDescent="0.25">
      <c r="A16">
        <v>10</v>
      </c>
      <c r="B16">
        <v>0.26894784046955872</v>
      </c>
      <c r="C16">
        <v>0.37340364015424599</v>
      </c>
      <c r="D16">
        <v>0.39750178277852866</v>
      </c>
      <c r="E16">
        <v>13.447392023477937</v>
      </c>
      <c r="F16">
        <v>93.350910038561494</v>
      </c>
      <c r="G16">
        <v>278.25124794497003</v>
      </c>
      <c r="H16">
        <v>0.25083027999010127</v>
      </c>
      <c r="I16">
        <v>8.2239436062328336E-2</v>
      </c>
      <c r="J16">
        <v>0</v>
      </c>
      <c r="K16">
        <v>0</v>
      </c>
      <c r="L16">
        <v>9.0000000000000024E-2</v>
      </c>
      <c r="M16">
        <v>4.0809817094405085</v>
      </c>
      <c r="N16">
        <v>0.33306971605242963</v>
      </c>
      <c r="O16">
        <v>4.4140514254929384</v>
      </c>
      <c r="P16">
        <v>0.4</v>
      </c>
    </row>
    <row r="17" spans="1:16" x14ac:dyDescent="0.25">
      <c r="A17">
        <v>11</v>
      </c>
      <c r="B17">
        <v>0.25453611813072974</v>
      </c>
      <c r="C17">
        <v>0.36381770968415328</v>
      </c>
      <c r="D17">
        <v>0.39702524440808201</v>
      </c>
      <c r="E17">
        <v>12.726805906536487</v>
      </c>
      <c r="F17">
        <v>90.954427421038318</v>
      </c>
      <c r="G17">
        <v>277.91767108565739</v>
      </c>
      <c r="H17">
        <v>0.1810623330692655</v>
      </c>
      <c r="I17">
        <v>7.3911662062292591E-2</v>
      </c>
      <c r="J17">
        <v>0</v>
      </c>
      <c r="K17">
        <v>0</v>
      </c>
      <c r="L17">
        <v>9.8000000000000032E-2</v>
      </c>
      <c r="M17">
        <v>2.8775977461974591</v>
      </c>
      <c r="N17">
        <v>0.25497399513155811</v>
      </c>
      <c r="O17">
        <v>3.1325717413290173</v>
      </c>
      <c r="P17">
        <v>0.4</v>
      </c>
    </row>
    <row r="18" spans="1:16" x14ac:dyDescent="0.25">
      <c r="A18">
        <v>12</v>
      </c>
      <c r="B18">
        <v>0.24130309852677481</v>
      </c>
      <c r="C18">
        <v>0.35513243764529862</v>
      </c>
      <c r="D18">
        <v>0.39649061913088052</v>
      </c>
      <c r="E18">
        <v>12.065154926338742</v>
      </c>
      <c r="F18">
        <v>88.783109411324659</v>
      </c>
      <c r="G18">
        <v>277.54343339161636</v>
      </c>
      <c r="H18">
        <v>0.15734265190793642</v>
      </c>
      <c r="I18">
        <v>7.7127114250893053E-2</v>
      </c>
      <c r="J18">
        <v>0</v>
      </c>
      <c r="K18">
        <v>0</v>
      </c>
      <c r="L18">
        <v>0.10600000000000004</v>
      </c>
      <c r="M18">
        <v>2.6658701759877546</v>
      </c>
      <c r="N18">
        <v>0.23446976615882947</v>
      </c>
      <c r="O18">
        <v>2.9003399421465841</v>
      </c>
      <c r="P18">
        <v>0.5</v>
      </c>
    </row>
    <row r="19" spans="1:16" x14ac:dyDescent="0.25">
      <c r="A19">
        <v>13</v>
      </c>
      <c r="B19">
        <v>0.22694066175081412</v>
      </c>
      <c r="C19">
        <v>0.34696774917467299</v>
      </c>
      <c r="D19">
        <v>0.39592371330923692</v>
      </c>
      <c r="E19">
        <v>11.347033087540707</v>
      </c>
      <c r="F19">
        <v>86.741937293668244</v>
      </c>
      <c r="G19">
        <v>277.14659931646582</v>
      </c>
      <c r="H19">
        <v>0.13494210331427986</v>
      </c>
      <c r="I19">
        <v>7.7371162384555645E-2</v>
      </c>
      <c r="J19">
        <v>0</v>
      </c>
      <c r="K19">
        <v>0</v>
      </c>
      <c r="L19">
        <v>0.11400000000000005</v>
      </c>
      <c r="M19">
        <v>2.6401273165364625</v>
      </c>
      <c r="N19">
        <v>0.21231326569883552</v>
      </c>
      <c r="O19">
        <v>2.8524405822352978</v>
      </c>
      <c r="P19">
        <v>0.5</v>
      </c>
    </row>
    <row r="20" spans="1:16" x14ac:dyDescent="0.25">
      <c r="A20">
        <v>14</v>
      </c>
      <c r="B20">
        <v>0.21292626204095341</v>
      </c>
      <c r="C20">
        <v>0.33904660112334933</v>
      </c>
      <c r="D20">
        <v>0.39533867699877423</v>
      </c>
      <c r="E20">
        <v>10.646313102047671</v>
      </c>
      <c r="F20">
        <v>84.76165028083733</v>
      </c>
      <c r="G20">
        <v>276.73707389914193</v>
      </c>
      <c r="H20">
        <v>0.1149714067485276</v>
      </c>
      <c r="I20">
        <v>7.5589218868965219E-2</v>
      </c>
      <c r="J20">
        <v>0</v>
      </c>
      <c r="K20">
        <v>0</v>
      </c>
      <c r="L20">
        <v>0.12200000000000005</v>
      </c>
      <c r="M20">
        <v>2.5934836622012192</v>
      </c>
      <c r="N20">
        <v>0.19056062561749282</v>
      </c>
      <c r="O20">
        <v>2.7840442878187122</v>
      </c>
      <c r="P20">
        <v>0.5</v>
      </c>
    </row>
    <row r="21" spans="1:16" x14ac:dyDescent="0.25">
      <c r="A21">
        <v>15</v>
      </c>
      <c r="B21">
        <v>0.20103869313175318</v>
      </c>
      <c r="C21">
        <v>0.33160289497197959</v>
      </c>
      <c r="D21">
        <v>0.3946583323863313</v>
      </c>
      <c r="E21">
        <v>10.05193465658766</v>
      </c>
      <c r="F21">
        <v>82.900723742994899</v>
      </c>
      <c r="G21">
        <v>276.26083267043191</v>
      </c>
      <c r="H21">
        <v>0.11840777235194859</v>
      </c>
      <c r="I21">
        <v>8.7890305250930986E-2</v>
      </c>
      <c r="J21">
        <v>0</v>
      </c>
      <c r="K21">
        <v>0</v>
      </c>
      <c r="L21">
        <v>0.13000000000000006</v>
      </c>
      <c r="M21">
        <v>2.4295786955928089</v>
      </c>
      <c r="N21">
        <v>0.20629807760287958</v>
      </c>
      <c r="O21">
        <v>2.6358767731956885</v>
      </c>
      <c r="P21">
        <v>0.6</v>
      </c>
    </row>
    <row r="22" spans="1:16" x14ac:dyDescent="0.25">
      <c r="A22">
        <v>16</v>
      </c>
      <c r="B22">
        <v>0.19019260890507927</v>
      </c>
      <c r="C22">
        <v>0.32478359569081944</v>
      </c>
      <c r="D22">
        <v>0.39384415893540486</v>
      </c>
      <c r="E22">
        <v>9.5096304452539631</v>
      </c>
      <c r="F22">
        <v>81.195898922704856</v>
      </c>
      <c r="G22">
        <v>275.69091125478337</v>
      </c>
      <c r="H22">
        <v>0.10186811455503468</v>
      </c>
      <c r="I22">
        <v>8.4310040299675634E-2</v>
      </c>
      <c r="J22">
        <v>0</v>
      </c>
      <c r="K22">
        <v>0</v>
      </c>
      <c r="L22">
        <v>0.13800000000000007</v>
      </c>
      <c r="M22">
        <v>2.3264138412076467</v>
      </c>
      <c r="N22">
        <v>0.18617815485471031</v>
      </c>
      <c r="O22">
        <v>2.5125919960623571</v>
      </c>
      <c r="P22">
        <v>0.6</v>
      </c>
    </row>
    <row r="23" spans="1:16" x14ac:dyDescent="0.25">
      <c r="A23">
        <v>17</v>
      </c>
      <c r="B23">
        <v>0.18301512803934292</v>
      </c>
      <c r="C23">
        <v>0.31874766466707982</v>
      </c>
      <c r="D23">
        <v>0.39292145995803995</v>
      </c>
      <c r="E23">
        <v>9.150756401967147</v>
      </c>
      <c r="F23">
        <v>79.686916166769961</v>
      </c>
      <c r="G23">
        <v>275.04502197062794</v>
      </c>
      <c r="H23">
        <v>8.9978039247734468E-2</v>
      </c>
      <c r="I23">
        <v>8.2191788813729474E-2</v>
      </c>
      <c r="J23">
        <v>0</v>
      </c>
      <c r="K23">
        <v>0</v>
      </c>
      <c r="L23">
        <v>0.14600000000000007</v>
      </c>
      <c r="M23">
        <v>2.0542790172874228</v>
      </c>
      <c r="N23">
        <v>0.17216982806146394</v>
      </c>
      <c r="O23">
        <v>2.2264488453488869</v>
      </c>
      <c r="P23">
        <v>0.6</v>
      </c>
    </row>
    <row r="24" spans="1:16" x14ac:dyDescent="0.25">
      <c r="A24">
        <v>18</v>
      </c>
      <c r="B24">
        <v>0.16847714712243778</v>
      </c>
      <c r="C24">
        <v>0.31232096771534673</v>
      </c>
      <c r="D24">
        <v>0.39190558907936673</v>
      </c>
      <c r="E24">
        <v>8.4238573561218892</v>
      </c>
      <c r="F24">
        <v>78.080241928836685</v>
      </c>
      <c r="G24">
        <v>274.33391235555672</v>
      </c>
      <c r="H24">
        <v>0.12259127043796954</v>
      </c>
      <c r="I24">
        <v>0.12254992430966001</v>
      </c>
      <c r="J24">
        <v>0</v>
      </c>
      <c r="K24">
        <v>0</v>
      </c>
      <c r="L24">
        <v>0.15400000000000008</v>
      </c>
      <c r="M24">
        <v>2.419531878126465</v>
      </c>
      <c r="N24">
        <v>0.24514119474762955</v>
      </c>
      <c r="O24">
        <v>2.6646730728740944</v>
      </c>
      <c r="P24">
        <v>0.7</v>
      </c>
    </row>
    <row r="25" spans="1:16" x14ac:dyDescent="0.25">
      <c r="A25">
        <v>19</v>
      </c>
      <c r="B25">
        <v>0.1574714329335806</v>
      </c>
      <c r="C25">
        <v>0.30550249946777869</v>
      </c>
      <c r="D25">
        <v>0.39078972345769281</v>
      </c>
      <c r="E25">
        <v>7.8735716466790304</v>
      </c>
      <c r="F25">
        <v>76.375624866944676</v>
      </c>
      <c r="G25">
        <v>273.55280642038491</v>
      </c>
      <c r="H25">
        <v>0.12000756271662515</v>
      </c>
      <c r="I25">
        <v>0.13034843696025175</v>
      </c>
      <c r="J25">
        <v>0</v>
      </c>
      <c r="K25">
        <v>0</v>
      </c>
      <c r="L25">
        <v>0.16200000000000009</v>
      </c>
      <c r="M25">
        <v>2.3768837756781873</v>
      </c>
      <c r="N25">
        <v>0.25035599967687688</v>
      </c>
      <c r="O25">
        <v>2.627239775355064</v>
      </c>
      <c r="P25">
        <v>0.7</v>
      </c>
    </row>
    <row r="26" spans="1:16" x14ac:dyDescent="0.25">
      <c r="A26">
        <v>20</v>
      </c>
      <c r="B26">
        <v>0.15476966035558931</v>
      </c>
      <c r="C26">
        <v>0.30006649729704032</v>
      </c>
      <c r="D26">
        <v>0.38958861105704506</v>
      </c>
      <c r="E26">
        <v>7.7384830177794663</v>
      </c>
      <c r="F26">
        <v>75.016624324260079</v>
      </c>
      <c r="G26">
        <v>272.7120277399315</v>
      </c>
      <c r="H26">
        <v>8.8923635595451592E-2</v>
      </c>
      <c r="I26">
        <v>0.1043014071645899</v>
      </c>
      <c r="J26">
        <v>0</v>
      </c>
      <c r="K26">
        <v>0</v>
      </c>
      <c r="L26">
        <v>0.1700000000000001</v>
      </c>
      <c r="M26">
        <v>1.886415566409563</v>
      </c>
      <c r="N26">
        <v>0.19322504276004149</v>
      </c>
      <c r="O26">
        <v>2.0796406091696045</v>
      </c>
      <c r="P26">
        <v>0.7</v>
      </c>
    </row>
    <row r="27" spans="1:16" x14ac:dyDescent="0.25">
      <c r="A27">
        <v>21</v>
      </c>
      <c r="B27">
        <v>0.15572825744821023</v>
      </c>
      <c r="C27">
        <v>0.29631569409000313</v>
      </c>
      <c r="D27">
        <v>0.38834314178984308</v>
      </c>
      <c r="E27">
        <v>7.7864128724105113</v>
      </c>
      <c r="F27">
        <v>74.078923522500787</v>
      </c>
      <c r="G27">
        <v>271.84019925289016</v>
      </c>
      <c r="H27">
        <v>7.5807246321901486E-2</v>
      </c>
      <c r="I27">
        <v>9.551064187090362E-2</v>
      </c>
      <c r="J27">
        <v>0</v>
      </c>
      <c r="K27">
        <v>0</v>
      </c>
      <c r="L27">
        <v>0.1780000000000001</v>
      </c>
      <c r="M27">
        <v>1.422472718224175</v>
      </c>
      <c r="N27">
        <v>0.17131788819280511</v>
      </c>
      <c r="O27">
        <v>1.59379060641698</v>
      </c>
      <c r="P27">
        <v>0.8</v>
      </c>
    </row>
    <row r="28" spans="1:16" x14ac:dyDescent="0.25">
      <c r="A28">
        <v>22</v>
      </c>
      <c r="B28">
        <v>0.1526926998370326</v>
      </c>
      <c r="C28">
        <v>0.29326538031700372</v>
      </c>
      <c r="D28">
        <v>0.38708460564725278</v>
      </c>
      <c r="E28">
        <v>7.6346349918516303</v>
      </c>
      <c r="F28">
        <v>73.316345079250937</v>
      </c>
      <c r="G28">
        <v>270.9592239530769</v>
      </c>
      <c r="H28">
        <v>7.7585026049865197E-2</v>
      </c>
      <c r="I28">
        <v>0.10451345164492025</v>
      </c>
      <c r="J28">
        <v>0</v>
      </c>
      <c r="K28">
        <v>0</v>
      </c>
      <c r="L28">
        <v>0.18600000000000011</v>
      </c>
      <c r="M28">
        <v>1.4136171003184355</v>
      </c>
      <c r="N28">
        <v>0.18209847769478543</v>
      </c>
      <c r="O28">
        <v>1.5957155780132208</v>
      </c>
      <c r="P28">
        <v>0.8</v>
      </c>
    </row>
    <row r="29" spans="1:16" x14ac:dyDescent="0.25">
      <c r="A29">
        <v>23</v>
      </c>
      <c r="B29">
        <v>0.14947169153700826</v>
      </c>
      <c r="C29">
        <v>0.29044143856523386</v>
      </c>
      <c r="D29">
        <v>0.38582270141342689</v>
      </c>
      <c r="E29">
        <v>7.4735845768504134</v>
      </c>
      <c r="F29">
        <v>72.610359641308463</v>
      </c>
      <c r="G29">
        <v>270.07589098939883</v>
      </c>
      <c r="H29">
        <v>7.8481387285329843E-2</v>
      </c>
      <c r="I29">
        <v>0.11257459537124685</v>
      </c>
      <c r="J29">
        <v>0</v>
      </c>
      <c r="K29">
        <v>0</v>
      </c>
      <c r="L29">
        <v>0.19400000000000012</v>
      </c>
      <c r="M29">
        <v>1.3744301078526389</v>
      </c>
      <c r="N29">
        <v>0.19105598265657669</v>
      </c>
      <c r="O29">
        <v>1.5654860905092156</v>
      </c>
      <c r="P29">
        <v>0.8</v>
      </c>
    </row>
    <row r="30" spans="1:16" x14ac:dyDescent="0.25">
      <c r="A30">
        <v>24</v>
      </c>
      <c r="B30">
        <v>0.16192176123398577</v>
      </c>
      <c r="C30">
        <v>0.28921472884828403</v>
      </c>
      <c r="D30">
        <v>0.38457519665020695</v>
      </c>
      <c r="E30">
        <v>8.0960880616992892</v>
      </c>
      <c r="F30">
        <v>72.30368221207101</v>
      </c>
      <c r="G30">
        <v>269.20263765514483</v>
      </c>
      <c r="H30">
        <v>4.6839195162675241E-2</v>
      </c>
      <c r="I30">
        <v>7.1283581068338472E-2</v>
      </c>
      <c r="J30">
        <v>0</v>
      </c>
      <c r="K30">
        <v>0.8</v>
      </c>
      <c r="L30">
        <v>0.20200000000000012</v>
      </c>
      <c r="M30">
        <v>1.0480052364790102</v>
      </c>
      <c r="N30">
        <v>0.11812277623101371</v>
      </c>
      <c r="O30">
        <v>1.166128012710024</v>
      </c>
      <c r="P30">
        <v>0.8</v>
      </c>
    </row>
    <row r="31" spans="1:16" x14ac:dyDescent="0.25">
      <c r="A31">
        <v>25</v>
      </c>
      <c r="B31">
        <v>0.1542252696482232</v>
      </c>
      <c r="C31">
        <v>0.2880676119384063</v>
      </c>
      <c r="D31">
        <v>0.38336677120599294</v>
      </c>
      <c r="E31">
        <v>7.7112634824111597</v>
      </c>
      <c r="F31">
        <v>72.016902984601572</v>
      </c>
      <c r="G31">
        <v>268.35673984419503</v>
      </c>
      <c r="H31">
        <v>6.4680505327925783E-2</v>
      </c>
      <c r="I31">
        <v>0.10410116833843683</v>
      </c>
      <c r="J31">
        <v>0</v>
      </c>
      <c r="K31">
        <v>0</v>
      </c>
      <c r="L31">
        <v>0.21000000000000013</v>
      </c>
      <c r="M31">
        <v>1.1480811851192441</v>
      </c>
      <c r="N31">
        <v>0.16878167366636262</v>
      </c>
      <c r="O31">
        <v>1.3168628587856066</v>
      </c>
      <c r="P31">
        <v>0.9</v>
      </c>
    </row>
    <row r="32" spans="1:16" x14ac:dyDescent="0.25">
      <c r="A32">
        <v>26</v>
      </c>
      <c r="B32">
        <v>0.14790120172344329</v>
      </c>
      <c r="C32">
        <v>0.28610655815061226</v>
      </c>
      <c r="D32">
        <v>0.38218198983267532</v>
      </c>
      <c r="E32">
        <v>7.3950600861721654</v>
      </c>
      <c r="F32">
        <v>71.526639537653068</v>
      </c>
      <c r="G32">
        <v>267.52739288287268</v>
      </c>
      <c r="H32">
        <v>8.5002075290657203E-2</v>
      </c>
      <c r="I32">
        <v>0.1442623189268907</v>
      </c>
      <c r="J32">
        <v>0</v>
      </c>
      <c r="K32">
        <v>0.2</v>
      </c>
      <c r="L32">
        <v>0.21800000000000014</v>
      </c>
      <c r="M32">
        <v>1.3934109365205349</v>
      </c>
      <c r="N32">
        <v>0.22926439421754791</v>
      </c>
      <c r="O32">
        <v>1.6226753307380828</v>
      </c>
      <c r="P32">
        <v>0.9</v>
      </c>
    </row>
    <row r="33" spans="1:16" x14ac:dyDescent="0.25">
      <c r="A33">
        <v>27</v>
      </c>
      <c r="B33">
        <v>0.14241168813375249</v>
      </c>
      <c r="C33">
        <v>0.28366603775645927</v>
      </c>
      <c r="D33">
        <v>0.38100609311614908</v>
      </c>
      <c r="E33">
        <v>7.1205844066876249</v>
      </c>
      <c r="F33">
        <v>70.916509439114819</v>
      </c>
      <c r="G33">
        <v>266.70426518130438</v>
      </c>
      <c r="H33">
        <v>8.826903198824658E-2</v>
      </c>
      <c r="I33">
        <v>0.15755589046713425</v>
      </c>
      <c r="J33">
        <v>0</v>
      </c>
      <c r="K33">
        <v>0</v>
      </c>
      <c r="L33">
        <v>0.22600000000000015</v>
      </c>
      <c r="M33">
        <v>1.3128208732391728</v>
      </c>
      <c r="N33">
        <v>0.24582492245538085</v>
      </c>
      <c r="O33">
        <v>1.5586457956945536</v>
      </c>
      <c r="P33">
        <v>0.9</v>
      </c>
    </row>
    <row r="34" spans="1:16" x14ac:dyDescent="0.25">
      <c r="A34">
        <v>28</v>
      </c>
      <c r="B34">
        <v>0.14137468242766962</v>
      </c>
      <c r="C34">
        <v>0.2813697010608866</v>
      </c>
      <c r="D34">
        <v>0.37983444842022851</v>
      </c>
      <c r="E34">
        <v>7.0687341213834811</v>
      </c>
      <c r="F34">
        <v>70.34242526522165</v>
      </c>
      <c r="G34">
        <v>265.88411389415995</v>
      </c>
      <c r="H34">
        <v>8.7985935829897485E-2</v>
      </c>
      <c r="I34">
        <v>0.16478205484701067</v>
      </c>
      <c r="J34">
        <v>0</v>
      </c>
      <c r="K34">
        <v>0</v>
      </c>
      <c r="L34">
        <v>0.23400000000000015</v>
      </c>
      <c r="M34">
        <v>1.1518521606599081</v>
      </c>
      <c r="N34">
        <v>0.25276799067690814</v>
      </c>
      <c r="O34">
        <v>1.4046201513368164</v>
      </c>
      <c r="P34">
        <v>1</v>
      </c>
    </row>
    <row r="35" spans="1:16" x14ac:dyDescent="0.25">
      <c r="A35">
        <v>29</v>
      </c>
      <c r="B35">
        <v>0.14248576930653689</v>
      </c>
      <c r="C35">
        <v>0.27968974959231746</v>
      </c>
      <c r="D35">
        <v>0.37867572395893917</v>
      </c>
      <c r="E35">
        <v>7.1242884653268455</v>
      </c>
      <c r="F35">
        <v>69.922437398079367</v>
      </c>
      <c r="G35">
        <v>265.07300677125738</v>
      </c>
      <c r="H35">
        <v>6.9128526259661247E-2</v>
      </c>
      <c r="I35">
        <v>0.13554503349113775</v>
      </c>
      <c r="J35">
        <v>0</v>
      </c>
      <c r="K35">
        <v>0</v>
      </c>
      <c r="L35">
        <v>0.24200000000000016</v>
      </c>
      <c r="M35">
        <v>0.95106914723690406</v>
      </c>
      <c r="N35">
        <v>0.20467355975079898</v>
      </c>
      <c r="O35">
        <v>1.1557427069877031</v>
      </c>
      <c r="P35">
        <v>1</v>
      </c>
    </row>
    <row r="36" spans="1:16" x14ac:dyDescent="0.25">
      <c r="A36">
        <v>30</v>
      </c>
      <c r="B36">
        <v>0.21414929104714797</v>
      </c>
      <c r="C36">
        <v>0.28050126593598163</v>
      </c>
      <c r="D36">
        <v>0.37755796475957881</v>
      </c>
      <c r="E36">
        <v>10.707464552357399</v>
      </c>
      <c r="F36">
        <v>70.125316483995405</v>
      </c>
      <c r="G36">
        <v>264.29057533170516</v>
      </c>
      <c r="H36">
        <v>7.640528724408259E-2</v>
      </c>
      <c r="I36">
        <v>0.15653766167080349</v>
      </c>
      <c r="J36">
        <v>0</v>
      </c>
      <c r="K36">
        <v>5.9</v>
      </c>
      <c r="L36">
        <v>0.25000000000000017</v>
      </c>
      <c r="M36">
        <v>1.8287931789096941</v>
      </c>
      <c r="N36">
        <v>0.23294294891488609</v>
      </c>
      <c r="O36">
        <v>2.06173612782458</v>
      </c>
      <c r="P36">
        <v>1</v>
      </c>
    </row>
    <row r="37" spans="1:16" x14ac:dyDescent="0.25">
      <c r="A37">
        <v>31</v>
      </c>
      <c r="B37">
        <v>0.17528833254199447</v>
      </c>
      <c r="C37">
        <v>0.28116603032328652</v>
      </c>
      <c r="D37">
        <v>0.37650718719273424</v>
      </c>
      <c r="E37">
        <v>8.7644166270997239</v>
      </c>
      <c r="F37">
        <v>70.29150758082163</v>
      </c>
      <c r="G37">
        <v>263.55503103491395</v>
      </c>
      <c r="H37">
        <v>0.10379441537331255</v>
      </c>
      <c r="I37">
        <v>0.22179330681844903</v>
      </c>
      <c r="J37">
        <v>0</v>
      </c>
      <c r="K37">
        <v>0</v>
      </c>
      <c r="L37">
        <v>0.25800000000000017</v>
      </c>
      <c r="M37">
        <v>1.9975321052186374</v>
      </c>
      <c r="N37">
        <v>0.32558772219176157</v>
      </c>
      <c r="O37">
        <v>2.323119827410399</v>
      </c>
      <c r="P37">
        <v>1.1000000000000001</v>
      </c>
    </row>
    <row r="38" spans="1:16" x14ac:dyDescent="0.25">
      <c r="A38">
        <v>32</v>
      </c>
      <c r="B38">
        <v>0.18122473562113128</v>
      </c>
      <c r="C38">
        <v>0.28197240026684617</v>
      </c>
      <c r="D38">
        <v>0.37551161593182902</v>
      </c>
      <c r="E38">
        <v>9.0612367810565644</v>
      </c>
      <c r="F38">
        <v>70.493100066711548</v>
      </c>
      <c r="G38">
        <v>262.85813115228029</v>
      </c>
      <c r="H38">
        <v>3.6035493255362767E-2</v>
      </c>
      <c r="I38">
        <v>8.0178151264985884E-2</v>
      </c>
      <c r="J38">
        <v>0</v>
      </c>
      <c r="K38">
        <v>0.9</v>
      </c>
      <c r="L38">
        <v>0.26600000000000018</v>
      </c>
      <c r="M38">
        <v>0.75985517629974142</v>
      </c>
      <c r="N38">
        <v>0.11621364452034866</v>
      </c>
      <c r="O38">
        <v>0.87606882082009008</v>
      </c>
      <c r="P38">
        <v>1.1000000000000001</v>
      </c>
    </row>
    <row r="39" spans="1:16" x14ac:dyDescent="0.25">
      <c r="A39">
        <v>33</v>
      </c>
      <c r="B39">
        <v>0.17781469651289289</v>
      </c>
      <c r="C39">
        <v>0.28232967226556616</v>
      </c>
      <c r="D39">
        <v>0.37456512112935769</v>
      </c>
      <c r="E39">
        <v>8.8907348256446461</v>
      </c>
      <c r="F39">
        <v>70.58241806639154</v>
      </c>
      <c r="G39">
        <v>262.19558479055036</v>
      </c>
      <c r="H39">
        <v>7.0626423621512724E-2</v>
      </c>
      <c r="I39">
        <v>0.16336957725265727</v>
      </c>
      <c r="J39">
        <v>0</v>
      </c>
      <c r="K39">
        <v>1.2</v>
      </c>
      <c r="L39">
        <v>0.27400000000000019</v>
      </c>
      <c r="M39">
        <v>1.4752328763331146</v>
      </c>
      <c r="N39">
        <v>0.23399600087417</v>
      </c>
      <c r="O39">
        <v>1.7092288772072846</v>
      </c>
      <c r="P39">
        <v>1.1000000000000001</v>
      </c>
    </row>
    <row r="40" spans="1:16" x14ac:dyDescent="0.25">
      <c r="A40">
        <v>34</v>
      </c>
      <c r="B40">
        <v>0.16039259613267848</v>
      </c>
      <c r="C40">
        <v>0.28200396486033319</v>
      </c>
      <c r="D40">
        <v>0.37365500389697787</v>
      </c>
      <c r="E40">
        <v>8.0196298066339242</v>
      </c>
      <c r="F40">
        <v>70.500991215083303</v>
      </c>
      <c r="G40">
        <v>261.5585027278845</v>
      </c>
      <c r="H40">
        <v>7.6274781969915023E-2</v>
      </c>
      <c r="I40">
        <v>0.1831638733498252</v>
      </c>
      <c r="J40">
        <v>0</v>
      </c>
      <c r="K40">
        <v>0</v>
      </c>
      <c r="L40">
        <v>0.28200000000000019</v>
      </c>
      <c r="M40">
        <v>1.206046037556576</v>
      </c>
      <c r="N40">
        <v>0.2594386553197402</v>
      </c>
      <c r="O40">
        <v>1.4654846928763163</v>
      </c>
      <c r="P40">
        <v>1.2</v>
      </c>
    </row>
    <row r="41" spans="1:16" x14ac:dyDescent="0.25">
      <c r="A41">
        <v>35</v>
      </c>
      <c r="B41">
        <v>0.1488742537554113</v>
      </c>
      <c r="C41">
        <v>0.28055219700250783</v>
      </c>
      <c r="D41">
        <v>0.37276343072239942</v>
      </c>
      <c r="E41">
        <v>7.4437126877705655</v>
      </c>
      <c r="F41">
        <v>70.138049250626963</v>
      </c>
      <c r="G41">
        <v>260.9344015056796</v>
      </c>
      <c r="H41">
        <v>9.1615976135735924E-2</v>
      </c>
      <c r="I41">
        <v>0.22808956714291118</v>
      </c>
      <c r="J41">
        <v>0</v>
      </c>
      <c r="K41">
        <v>0</v>
      </c>
      <c r="L41">
        <v>0.2900000000000002</v>
      </c>
      <c r="M41">
        <v>1.1616200282627884</v>
      </c>
      <c r="N41">
        <v>0.31970554327864709</v>
      </c>
      <c r="O41">
        <v>1.4813255715414355</v>
      </c>
      <c r="P41">
        <v>1.2</v>
      </c>
    </row>
    <row r="42" spans="1:16" x14ac:dyDescent="0.25">
      <c r="A42">
        <v>36</v>
      </c>
      <c r="B42">
        <v>0.14774822955122549</v>
      </c>
      <c r="C42">
        <v>0.27902033441022378</v>
      </c>
      <c r="D42">
        <v>0.37187892551804691</v>
      </c>
      <c r="E42">
        <v>7.3874114775612751</v>
      </c>
      <c r="F42">
        <v>69.755083602555942</v>
      </c>
      <c r="G42">
        <v>260.31524786263282</v>
      </c>
      <c r="H42">
        <v>7.0669204914584074E-2</v>
      </c>
      <c r="I42">
        <v>0.18217962962347906</v>
      </c>
      <c r="J42">
        <v>0</v>
      </c>
      <c r="K42">
        <v>0</v>
      </c>
      <c r="L42">
        <v>0.29800000000000021</v>
      </c>
      <c r="M42">
        <v>0.84949526298356881</v>
      </c>
      <c r="N42">
        <v>0.25284883453806312</v>
      </c>
      <c r="O42">
        <v>1.1023440975216319</v>
      </c>
      <c r="P42">
        <v>1.2</v>
      </c>
    </row>
    <row r="43" spans="1:16" x14ac:dyDescent="0.25">
      <c r="A43">
        <v>37</v>
      </c>
      <c r="B43">
        <v>0.14643459704587691</v>
      </c>
      <c r="C43">
        <v>0.27730293728612609</v>
      </c>
      <c r="D43">
        <v>0.37100027738557695</v>
      </c>
      <c r="E43">
        <v>7.3217298522938457</v>
      </c>
      <c r="F43">
        <v>69.325734321531527</v>
      </c>
      <c r="G43">
        <v>259.70019416990385</v>
      </c>
      <c r="H43">
        <v>0.10337356621491456</v>
      </c>
      <c r="I43">
        <v>0.27401685327915898</v>
      </c>
      <c r="J43">
        <v>1.6028164534497673E-3</v>
      </c>
      <c r="K43">
        <v>0.3</v>
      </c>
      <c r="L43">
        <v>0.30600000000000022</v>
      </c>
      <c r="M43">
        <v>1.1092510798929149</v>
      </c>
      <c r="N43">
        <v>0.37899323594752332</v>
      </c>
      <c r="O43">
        <v>1.4882443158404381</v>
      </c>
      <c r="P43">
        <v>1.3</v>
      </c>
    </row>
    <row r="44" spans="1:16" x14ac:dyDescent="0.25">
      <c r="A44">
        <v>38</v>
      </c>
      <c r="B44">
        <v>0.39890834536748637</v>
      </c>
      <c r="C44">
        <v>0.31318096389601929</v>
      </c>
      <c r="D44">
        <v>0.37031636554275116</v>
      </c>
      <c r="E44">
        <v>19.945417268374321</v>
      </c>
      <c r="F44">
        <v>78.295240974004827</v>
      </c>
      <c r="G44">
        <v>259.22145587992577</v>
      </c>
      <c r="H44">
        <v>0.38431902216057562</v>
      </c>
      <c r="I44">
        <v>1.0434861492783341</v>
      </c>
      <c r="J44">
        <v>1.5162014735657377E-2</v>
      </c>
      <c r="K44">
        <v>30.2</v>
      </c>
      <c r="L44">
        <v>0.31400000000000022</v>
      </c>
      <c r="M44">
        <v>2.7996685930099017</v>
      </c>
      <c r="N44">
        <v>1.4429671861745672</v>
      </c>
      <c r="O44">
        <v>4.2426357791844689</v>
      </c>
      <c r="P44">
        <v>1.3</v>
      </c>
    </row>
    <row r="45" spans="1:16" x14ac:dyDescent="0.25">
      <c r="A45">
        <v>39</v>
      </c>
      <c r="B45">
        <v>0.48830900388165244</v>
      </c>
      <c r="C45">
        <v>0.42889174298991389</v>
      </c>
      <c r="D45">
        <v>0.37082906111129382</v>
      </c>
      <c r="E45">
        <v>24.415450194082624</v>
      </c>
      <c r="F45">
        <v>107.22293574747847</v>
      </c>
      <c r="G45">
        <v>259.58034277790563</v>
      </c>
      <c r="H45">
        <v>0.57247019790903109</v>
      </c>
      <c r="I45">
        <v>1.5892519578719955</v>
      </c>
      <c r="J45">
        <v>3.8277844218973782E-2</v>
      </c>
      <c r="K45">
        <v>46.5</v>
      </c>
      <c r="L45">
        <v>0.32200000000000023</v>
      </c>
      <c r="M45">
        <v>2.7999496321107498</v>
      </c>
      <c r="N45">
        <v>2.2000000000000002</v>
      </c>
      <c r="O45">
        <v>4.9999496321107504</v>
      </c>
      <c r="P45">
        <v>1.3</v>
      </c>
    </row>
    <row r="46" spans="1:16" x14ac:dyDescent="0.25">
      <c r="A46">
        <v>40</v>
      </c>
      <c r="B46">
        <v>0.46663328358179018</v>
      </c>
      <c r="C46">
        <v>0.45494041925745266</v>
      </c>
      <c r="D46">
        <v>0.37440253154669356</v>
      </c>
      <c r="E46">
        <v>23.331664179089508</v>
      </c>
      <c r="F46">
        <v>113.73510481436317</v>
      </c>
      <c r="G46">
        <v>262.08177208268546</v>
      </c>
      <c r="H46">
        <v>0.6359044995408627</v>
      </c>
      <c r="I46">
        <v>1.8021120293847566</v>
      </c>
      <c r="J46">
        <v>6.1983471074380792E-2</v>
      </c>
      <c r="K46">
        <v>14.5</v>
      </c>
      <c r="L46">
        <v>0.33000000000000024</v>
      </c>
      <c r="M46">
        <v>2.8999203628599952</v>
      </c>
      <c r="N46">
        <v>2.5</v>
      </c>
      <c r="O46">
        <v>5.3999203628599952</v>
      </c>
      <c r="P46">
        <v>1.4</v>
      </c>
    </row>
    <row r="47" spans="1:16" x14ac:dyDescent="0.25">
      <c r="A47">
        <v>41</v>
      </c>
      <c r="B47">
        <v>0.47842397089826527</v>
      </c>
      <c r="C47">
        <v>0.47276797706514245</v>
      </c>
      <c r="D47">
        <v>0.38204553063715369</v>
      </c>
      <c r="E47">
        <v>23.921198544913263</v>
      </c>
      <c r="F47">
        <v>118.19199426628562</v>
      </c>
      <c r="G47">
        <v>267.43187144600756</v>
      </c>
      <c r="H47">
        <v>0.49753159903364697</v>
      </c>
      <c r="I47">
        <v>1.4372746052309093</v>
      </c>
      <c r="J47">
        <v>6.5193795735443816E-2</v>
      </c>
      <c r="K47">
        <v>16.7</v>
      </c>
      <c r="L47">
        <v>0.33800000000000024</v>
      </c>
      <c r="M47">
        <v>2.2999499417766631</v>
      </c>
      <c r="N47">
        <v>2</v>
      </c>
      <c r="O47">
        <v>4.2999499417766636</v>
      </c>
      <c r="P47">
        <v>1.4</v>
      </c>
    </row>
    <row r="48" spans="1:16" x14ac:dyDescent="0.25">
      <c r="A48">
        <v>42</v>
      </c>
      <c r="B48">
        <v>0.46306724097892565</v>
      </c>
      <c r="C48">
        <v>0.46303082595624995</v>
      </c>
      <c r="D48">
        <v>0.39068248235888481</v>
      </c>
      <c r="E48">
        <v>23.153362048946285</v>
      </c>
      <c r="F48">
        <v>115.75770648906249</v>
      </c>
      <c r="G48">
        <v>273.47773765121934</v>
      </c>
      <c r="H48">
        <v>0.3164322229275951</v>
      </c>
      <c r="I48">
        <v>0.93061913194560442</v>
      </c>
      <c r="J48">
        <v>5.2948645126800441E-2</v>
      </c>
      <c r="K48">
        <v>6</v>
      </c>
      <c r="L48">
        <v>0.34600000000000025</v>
      </c>
      <c r="M48">
        <v>1.3999587060435554</v>
      </c>
      <c r="N48">
        <v>1.3</v>
      </c>
      <c r="O48">
        <v>2.6999587060435557</v>
      </c>
      <c r="P48">
        <v>1.4</v>
      </c>
    </row>
    <row r="49" spans="1:20" x14ac:dyDescent="0.25">
      <c r="A49">
        <v>43</v>
      </c>
      <c r="B49">
        <v>0.4394547322390025</v>
      </c>
      <c r="C49">
        <v>0.44679380444030103</v>
      </c>
      <c r="D49">
        <v>0.39593794334989435</v>
      </c>
      <c r="E49">
        <v>21.972736611950126</v>
      </c>
      <c r="F49">
        <v>111.69845111007525</v>
      </c>
      <c r="G49">
        <v>277.15656034492605</v>
      </c>
      <c r="H49">
        <v>0.23827763414089168</v>
      </c>
      <c r="I49">
        <v>0.71259855086341717</v>
      </c>
      <c r="J49">
        <v>4.9123814995691184E-2</v>
      </c>
      <c r="K49">
        <v>0</v>
      </c>
      <c r="L49">
        <v>0.35400000000000026</v>
      </c>
      <c r="M49">
        <v>0.99995196812337861</v>
      </c>
      <c r="N49">
        <v>1</v>
      </c>
      <c r="O49">
        <v>1.9999519681233786</v>
      </c>
      <c r="P49">
        <v>1.5</v>
      </c>
    </row>
    <row r="50" spans="1:20" x14ac:dyDescent="0.25">
      <c r="A50">
        <v>44</v>
      </c>
      <c r="B50">
        <v>0.42988883500686975</v>
      </c>
      <c r="C50">
        <v>0.43646973822624197</v>
      </c>
      <c r="D50">
        <v>0.39885077483529513</v>
      </c>
      <c r="E50">
        <v>21.494441750343487</v>
      </c>
      <c r="F50">
        <v>109.1174345565605</v>
      </c>
      <c r="G50">
        <v>279.19554238470658</v>
      </c>
      <c r="H50">
        <v>0.14001404108543683</v>
      </c>
      <c r="I50">
        <v>0.42535331644333191</v>
      </c>
      <c r="J50">
        <v>3.4632642471231212E-2</v>
      </c>
      <c r="K50">
        <v>0</v>
      </c>
      <c r="L50">
        <v>0.36200000000000027</v>
      </c>
      <c r="M50">
        <v>0.49997051857850688</v>
      </c>
      <c r="N50">
        <v>0.6</v>
      </c>
      <c r="O50">
        <v>1.0999705185785069</v>
      </c>
      <c r="P50">
        <v>1.5</v>
      </c>
    </row>
    <row r="51" spans="1:20" x14ac:dyDescent="0.25">
      <c r="A51">
        <v>45</v>
      </c>
      <c r="B51">
        <v>0.42343783527557122</v>
      </c>
      <c r="C51">
        <v>0.42659295181155998</v>
      </c>
      <c r="D51">
        <v>0.40046361027480559</v>
      </c>
      <c r="E51">
        <v>21.171891763778564</v>
      </c>
      <c r="F51">
        <v>106.64823795289</v>
      </c>
      <c r="G51">
        <v>280.32452719236392</v>
      </c>
      <c r="H51">
        <v>0.45726807888970022</v>
      </c>
      <c r="I51">
        <v>1.409788166544923</v>
      </c>
      <c r="J51">
        <v>0.13294375456537688</v>
      </c>
      <c r="K51">
        <v>1.4</v>
      </c>
      <c r="L51">
        <v>0.37000000000000027</v>
      </c>
      <c r="M51">
        <v>1.8998710237980569</v>
      </c>
      <c r="N51">
        <v>2</v>
      </c>
      <c r="O51">
        <v>3.8998710237980569</v>
      </c>
      <c r="P51">
        <v>1.5</v>
      </c>
    </row>
    <row r="52" spans="1:20" x14ac:dyDescent="0.25">
      <c r="A52">
        <v>46</v>
      </c>
      <c r="B52">
        <v>0.50055685027934949</v>
      </c>
      <c r="C52">
        <v>0.53942092813020659</v>
      </c>
      <c r="D52">
        <v>0.39971395403086196</v>
      </c>
      <c r="E52">
        <v>25.027842513967475</v>
      </c>
      <c r="F52">
        <v>134.85523203255164</v>
      </c>
      <c r="G52">
        <v>279.79976782160338</v>
      </c>
      <c r="H52">
        <v>0.40337616528092696</v>
      </c>
      <c r="I52">
        <v>1.2610229276895941</v>
      </c>
      <c r="J52">
        <v>0.135600907029479</v>
      </c>
      <c r="K52">
        <v>98.4</v>
      </c>
      <c r="L52">
        <v>0.37800000000000028</v>
      </c>
      <c r="M52">
        <v>1.4999785786003086</v>
      </c>
      <c r="N52">
        <v>1.8</v>
      </c>
      <c r="O52">
        <v>3.2999785786003084</v>
      </c>
      <c r="P52">
        <v>1.6</v>
      </c>
    </row>
    <row r="53" spans="1:20" x14ac:dyDescent="0.25">
      <c r="A53">
        <v>47</v>
      </c>
      <c r="B53">
        <v>0.46478110362806663</v>
      </c>
      <c r="C53">
        <v>0.47026833179620331</v>
      </c>
      <c r="D53">
        <v>0.42488526964824852</v>
      </c>
      <c r="E53">
        <v>23.23905518140333</v>
      </c>
      <c r="F53">
        <v>117.56708294905083</v>
      </c>
      <c r="G53">
        <v>297.41968875377393</v>
      </c>
      <c r="H53">
        <v>0.32960616392386349</v>
      </c>
      <c r="I53">
        <v>1.0439877580606189</v>
      </c>
      <c r="J53">
        <v>0.12640607801551762</v>
      </c>
      <c r="K53">
        <v>1.2</v>
      </c>
      <c r="L53">
        <v>0.38600000000000029</v>
      </c>
      <c r="M53">
        <v>1.1999658027184972</v>
      </c>
      <c r="N53">
        <v>1.5</v>
      </c>
      <c r="O53">
        <v>2.6999658027184972</v>
      </c>
      <c r="P53">
        <v>1.6</v>
      </c>
    </row>
    <row r="54" spans="1:20" x14ac:dyDescent="0.25">
      <c r="A54">
        <v>48</v>
      </c>
      <c r="B54">
        <v>0.44331875123169634</v>
      </c>
      <c r="C54">
        <v>0.44988342562883898</v>
      </c>
      <c r="D54">
        <v>0.43025658871631667</v>
      </c>
      <c r="E54">
        <v>22.165937561584816</v>
      </c>
      <c r="F54">
        <v>112.47085640720975</v>
      </c>
      <c r="G54">
        <v>301.17961210142164</v>
      </c>
      <c r="H54">
        <v>0.21554278646705649</v>
      </c>
      <c r="I54">
        <v>0.69120564817439234</v>
      </c>
      <c r="J54">
        <v>9.3251565358551169E-2</v>
      </c>
      <c r="K54">
        <v>0</v>
      </c>
      <c r="L54">
        <v>0.39400000000000029</v>
      </c>
      <c r="M54">
        <v>0.79996458415614968</v>
      </c>
      <c r="N54">
        <v>1</v>
      </c>
      <c r="O54">
        <v>1.7999645841561498</v>
      </c>
      <c r="P54">
        <v>1.6</v>
      </c>
    </row>
    <row r="55" spans="1:20" x14ac:dyDescent="0.25">
      <c r="A55">
        <v>49</v>
      </c>
      <c r="B55">
        <v>0.42543138412122122</v>
      </c>
      <c r="C55">
        <v>0.43352581362940146</v>
      </c>
      <c r="D55">
        <v>0.43128115740511153</v>
      </c>
      <c r="E55">
        <v>21.271569206061063</v>
      </c>
      <c r="F55">
        <v>108.38145340735036</v>
      </c>
      <c r="G55">
        <v>301.89681018357805</v>
      </c>
      <c r="H55">
        <v>0.59221306403306817</v>
      </c>
      <c r="I55">
        <v>1.9214870919036651</v>
      </c>
      <c r="J55">
        <v>0.28629984406326647</v>
      </c>
      <c r="K55">
        <v>0</v>
      </c>
      <c r="L55">
        <v>0.4020000000000003</v>
      </c>
      <c r="M55">
        <v>2.0998635508861256</v>
      </c>
      <c r="N55">
        <v>2.8</v>
      </c>
      <c r="O55">
        <v>4.8998635508861259</v>
      </c>
      <c r="P55">
        <v>1.7</v>
      </c>
    </row>
    <row r="56" spans="1:20" x14ac:dyDescent="0.25">
      <c r="A56">
        <v>50</v>
      </c>
      <c r="B56">
        <v>0.41051523726192013</v>
      </c>
      <c r="C56">
        <v>0.42082287186536382</v>
      </c>
      <c r="D56">
        <v>0.43046034856679727</v>
      </c>
      <c r="E56">
        <v>20.525761863096008</v>
      </c>
      <c r="F56">
        <v>105.20571796634096</v>
      </c>
      <c r="G56">
        <v>301.32224399675806</v>
      </c>
      <c r="H56">
        <v>0.62284354550862542</v>
      </c>
      <c r="I56">
        <v>2.0434265318262925</v>
      </c>
      <c r="J56">
        <v>0.33372992266508161</v>
      </c>
      <c r="K56">
        <v>0</v>
      </c>
      <c r="L56">
        <v>0.41000000000000031</v>
      </c>
      <c r="M56">
        <v>2.2997916051445988</v>
      </c>
      <c r="N56">
        <v>3</v>
      </c>
      <c r="O56">
        <v>5.2997916051445983</v>
      </c>
      <c r="P56">
        <v>1.7</v>
      </c>
    </row>
    <row r="57" spans="1:20" x14ac:dyDescent="0.25">
      <c r="A57">
        <v>51</v>
      </c>
      <c r="B57">
        <v>0.39769141387743151</v>
      </c>
      <c r="C57">
        <v>0.41076831069824077</v>
      </c>
      <c r="D57">
        <v>0.42887446649397659</v>
      </c>
      <c r="E57">
        <v>19.884570693871577</v>
      </c>
      <c r="F57">
        <v>102.6920776745602</v>
      </c>
      <c r="G57">
        <v>300.21212654578363</v>
      </c>
      <c r="H57">
        <v>0.57082026510382045</v>
      </c>
      <c r="I57">
        <v>1.8925848767198548</v>
      </c>
      <c r="J57">
        <v>0.33659485817632456</v>
      </c>
      <c r="K57">
        <v>0</v>
      </c>
      <c r="L57">
        <v>0.41800000000000032</v>
      </c>
      <c r="M57">
        <v>2.1997320906375757</v>
      </c>
      <c r="N57">
        <v>2.8</v>
      </c>
      <c r="O57">
        <v>4.9997320906375755</v>
      </c>
      <c r="P57">
        <v>1.7</v>
      </c>
      <c r="R57" t="s">
        <v>115</v>
      </c>
      <c r="S57">
        <f>_write</f>
        <v>1</v>
      </c>
      <c r="T57">
        <f>cummthick_1</f>
        <v>0.05</v>
      </c>
    </row>
    <row r="58" spans="1:20" x14ac:dyDescent="0.25">
      <c r="A58">
        <v>52</v>
      </c>
      <c r="B58">
        <v>0.38743351093379824</v>
      </c>
      <c r="C58">
        <v>0.40023220759637607</v>
      </c>
      <c r="D58">
        <v>0.42672985490659893</v>
      </c>
      <c r="E58">
        <v>19.371675546689914</v>
      </c>
      <c r="F58">
        <v>100.05805189909401</v>
      </c>
      <c r="G58">
        <v>298.71089843461925</v>
      </c>
      <c r="H58">
        <v>0.76093808547686692</v>
      </c>
      <c r="I58">
        <v>2.5483259494368391</v>
      </c>
      <c r="J58">
        <v>0.4907359650862938</v>
      </c>
      <c r="K58">
        <v>0</v>
      </c>
      <c r="L58">
        <v>0.42600000000000032</v>
      </c>
      <c r="M58">
        <v>2.4996116423673058</v>
      </c>
      <c r="N58">
        <v>3.8</v>
      </c>
      <c r="O58">
        <v>6.2996116423673056</v>
      </c>
      <c r="P58">
        <v>1.8</v>
      </c>
      <c r="S58">
        <f>Control!B2</f>
        <v>90</v>
      </c>
      <c r="T58">
        <f>cummthick_1</f>
        <v>0.05</v>
      </c>
    </row>
    <row r="59" spans="1:20" x14ac:dyDescent="0.25">
      <c r="A59">
        <v>53</v>
      </c>
      <c r="B59">
        <v>0.38080653451891605</v>
      </c>
      <c r="C59">
        <v>0.39392314545932039</v>
      </c>
      <c r="D59">
        <v>0.42468573113687214</v>
      </c>
      <c r="E59">
        <v>19.040326725945803</v>
      </c>
      <c r="F59">
        <v>98.480786364830095</v>
      </c>
      <c r="G59">
        <v>297.28001179581048</v>
      </c>
      <c r="H59">
        <v>0.47221219393064162</v>
      </c>
      <c r="I59">
        <v>1.5965512115356022</v>
      </c>
      <c r="J59">
        <v>0.33123659453375609</v>
      </c>
      <c r="K59">
        <v>0</v>
      </c>
      <c r="L59">
        <v>0.43400000000000033</v>
      </c>
      <c r="M59">
        <v>1.5997081149325447</v>
      </c>
      <c r="N59">
        <v>2.4</v>
      </c>
      <c r="O59">
        <v>3.9997081149325444</v>
      </c>
      <c r="P59">
        <v>1.8</v>
      </c>
      <c r="R59" t="s">
        <v>116</v>
      </c>
      <c r="S59">
        <f>_write</f>
        <v>1</v>
      </c>
      <c r="T59">
        <f>cummthick_2</f>
        <v>0.3</v>
      </c>
    </row>
    <row r="60" spans="1:20" x14ac:dyDescent="0.25">
      <c r="A60">
        <v>54</v>
      </c>
      <c r="B60">
        <v>0.41596030936440914</v>
      </c>
      <c r="C60">
        <v>0.39126562183831354</v>
      </c>
      <c r="D60">
        <v>0.42265404172697241</v>
      </c>
      <c r="E60">
        <v>20.798015468220459</v>
      </c>
      <c r="F60">
        <v>97.816405459578391</v>
      </c>
      <c r="G60">
        <v>295.85782920888067</v>
      </c>
      <c r="H60">
        <v>0.4641182612968609</v>
      </c>
      <c r="I60">
        <v>1.5835056612272467</v>
      </c>
      <c r="J60">
        <v>0.35237607747589228</v>
      </c>
      <c r="K60">
        <v>3.5</v>
      </c>
      <c r="L60">
        <v>0.44200000000000034</v>
      </c>
      <c r="M60">
        <v>1.4998797912025659</v>
      </c>
      <c r="N60">
        <v>2.4</v>
      </c>
      <c r="O60">
        <v>3.899879791202566</v>
      </c>
      <c r="P60">
        <v>1.8</v>
      </c>
      <c r="S60">
        <f>Control!B2</f>
        <v>90</v>
      </c>
      <c r="T60">
        <f>cummthick_2</f>
        <v>0.3</v>
      </c>
    </row>
    <row r="61" spans="1:20" x14ac:dyDescent="0.25">
      <c r="A61">
        <v>55</v>
      </c>
      <c r="B61">
        <v>0.47576548653436895</v>
      </c>
      <c r="C61">
        <v>0.44423904890746774</v>
      </c>
      <c r="D61">
        <v>0.42152397907443589</v>
      </c>
      <c r="E61">
        <v>23.788274326718447</v>
      </c>
      <c r="F61">
        <v>111.05976222686694</v>
      </c>
      <c r="G61">
        <v>295.06678535210511</v>
      </c>
      <c r="H61">
        <v>0.91259259259259207</v>
      </c>
      <c r="I61">
        <v>3.1407407407407391</v>
      </c>
      <c r="J61">
        <v>0.74666666666666881</v>
      </c>
      <c r="K61">
        <v>25.3</v>
      </c>
      <c r="L61">
        <v>0.45000000000000034</v>
      </c>
      <c r="M61">
        <v>2.7999358121654603</v>
      </c>
      <c r="N61">
        <v>4.8</v>
      </c>
      <c r="O61">
        <v>7.5999358121654605</v>
      </c>
      <c r="P61">
        <v>1.9</v>
      </c>
      <c r="R61" t="s">
        <v>117</v>
      </c>
      <c r="S61">
        <f>_write</f>
        <v>1</v>
      </c>
      <c r="T61">
        <f>cummthick_3</f>
        <v>1</v>
      </c>
    </row>
    <row r="62" spans="1:20" x14ac:dyDescent="0.25">
      <c r="A62">
        <v>56</v>
      </c>
      <c r="B62">
        <v>0.42915314171932961</v>
      </c>
      <c r="C62">
        <v>0.43508885449724688</v>
      </c>
      <c r="D62">
        <v>0.42294377205117684</v>
      </c>
      <c r="E62">
        <v>21.457657085966481</v>
      </c>
      <c r="F62">
        <v>108.77221362431172</v>
      </c>
      <c r="G62">
        <v>296.06064043582376</v>
      </c>
      <c r="H62">
        <v>0.61700768482675727</v>
      </c>
      <c r="I62">
        <v>2.1411204973207978</v>
      </c>
      <c r="J62">
        <v>0.54187181785244476</v>
      </c>
      <c r="K62">
        <v>0</v>
      </c>
      <c r="L62">
        <v>0.45800000000000035</v>
      </c>
      <c r="M62">
        <v>1.8998861685189203</v>
      </c>
      <c r="N62">
        <v>3.3</v>
      </c>
      <c r="O62">
        <v>5.1998861685189199</v>
      </c>
      <c r="P62">
        <v>1.9</v>
      </c>
      <c r="S62">
        <f>Control!B2</f>
        <v>90</v>
      </c>
      <c r="T62">
        <f>cummthick_3</f>
        <v>1</v>
      </c>
    </row>
    <row r="63" spans="1:20" x14ac:dyDescent="0.25">
      <c r="A63">
        <v>57</v>
      </c>
      <c r="B63">
        <v>0.41867354222109693</v>
      </c>
      <c r="C63">
        <v>0.42435483391348183</v>
      </c>
      <c r="D63">
        <v>0.42285928185366528</v>
      </c>
      <c r="E63">
        <v>20.933677111054848</v>
      </c>
      <c r="F63">
        <v>106.08870847837046</v>
      </c>
      <c r="G63">
        <v>296.00149729756572</v>
      </c>
      <c r="H63">
        <v>0.53337692718598573</v>
      </c>
      <c r="I63">
        <v>1.8656173442133752</v>
      </c>
      <c r="J63">
        <v>0.50100572860063886</v>
      </c>
      <c r="K63">
        <v>0</v>
      </c>
      <c r="L63">
        <v>0.46600000000000036</v>
      </c>
      <c r="M63">
        <v>1.5998793134841609</v>
      </c>
      <c r="N63">
        <v>2.9</v>
      </c>
      <c r="O63">
        <v>4.4998793134841613</v>
      </c>
      <c r="P63">
        <v>1.9</v>
      </c>
    </row>
    <row r="64" spans="1:20" x14ac:dyDescent="0.25">
      <c r="A64">
        <v>58</v>
      </c>
      <c r="B64">
        <v>0.42256761802178816</v>
      </c>
      <c r="C64">
        <v>0.41741434659780702</v>
      </c>
      <c r="D64">
        <v>0.42185879478421867</v>
      </c>
      <c r="E64">
        <v>21.128380901089411</v>
      </c>
      <c r="F64">
        <v>104.35358664945176</v>
      </c>
      <c r="G64">
        <v>295.30115634895304</v>
      </c>
      <c r="H64">
        <v>0.63340098630917363</v>
      </c>
      <c r="I64">
        <v>2.232325660061599</v>
      </c>
      <c r="J64">
        <v>0.63427335362922732</v>
      </c>
      <c r="K64">
        <v>1.5</v>
      </c>
      <c r="L64">
        <v>0.47400000000000037</v>
      </c>
      <c r="M64">
        <v>1.6998823671113825</v>
      </c>
      <c r="N64">
        <v>3.5</v>
      </c>
      <c r="O64">
        <v>5.1998823671113827</v>
      </c>
      <c r="P64">
        <v>2</v>
      </c>
    </row>
    <row r="65" spans="1:16" x14ac:dyDescent="0.25">
      <c r="A65">
        <v>59</v>
      </c>
      <c r="B65">
        <v>0.41592940026014336</v>
      </c>
      <c r="C65">
        <v>0.41420565038370816</v>
      </c>
      <c r="D65">
        <v>0.42099592375873568</v>
      </c>
      <c r="E65">
        <v>20.79647001300717</v>
      </c>
      <c r="F65">
        <v>103.55141259592703</v>
      </c>
      <c r="G65">
        <v>294.69714663111495</v>
      </c>
      <c r="H65">
        <v>0.3384153165406929</v>
      </c>
      <c r="I65">
        <v>1.2013825519533061</v>
      </c>
      <c r="J65">
        <v>0.36020213150600078</v>
      </c>
      <c r="K65">
        <v>0.7</v>
      </c>
      <c r="L65">
        <v>0.48200000000000037</v>
      </c>
      <c r="M65">
        <v>0.89992782477112365</v>
      </c>
      <c r="N65">
        <v>1.9</v>
      </c>
      <c r="O65">
        <v>2.7999278247711237</v>
      </c>
      <c r="P65">
        <v>2</v>
      </c>
    </row>
    <row r="66" spans="1:16" x14ac:dyDescent="0.25">
      <c r="A66">
        <v>60</v>
      </c>
      <c r="B66">
        <v>0.46072401680348235</v>
      </c>
      <c r="C66">
        <v>0.43502053233744314</v>
      </c>
      <c r="D66">
        <v>0.42015521233645303</v>
      </c>
      <c r="E66">
        <v>23.036200840174118</v>
      </c>
      <c r="F66">
        <v>108.75513308436079</v>
      </c>
      <c r="G66">
        <v>294.10864863551711</v>
      </c>
      <c r="H66">
        <v>0.68384006663889996</v>
      </c>
      <c r="I66">
        <v>2.4446064139941677</v>
      </c>
      <c r="J66">
        <v>0.77155351936693217</v>
      </c>
      <c r="K66">
        <v>13.2</v>
      </c>
      <c r="L66">
        <v>0.49000000000000038</v>
      </c>
      <c r="M66">
        <v>1.9999381534394836</v>
      </c>
      <c r="N66">
        <v>3.9</v>
      </c>
      <c r="O66">
        <v>5.8999381534394839</v>
      </c>
      <c r="P66">
        <v>2</v>
      </c>
    </row>
    <row r="67" spans="1:16" x14ac:dyDescent="0.25">
      <c r="A67">
        <v>61</v>
      </c>
      <c r="B67">
        <v>0.4364590626896101</v>
      </c>
      <c r="C67">
        <v>0.43366374168501942</v>
      </c>
      <c r="D67">
        <v>0.42079461105950222</v>
      </c>
      <c r="E67">
        <v>21.822953134480507</v>
      </c>
      <c r="F67">
        <v>108.41593542125486</v>
      </c>
      <c r="G67">
        <v>294.55622774165153</v>
      </c>
      <c r="H67">
        <v>0.48344381542233156</v>
      </c>
      <c r="I67">
        <v>1.7398106482153501</v>
      </c>
      <c r="J67">
        <v>0.57674553636231818</v>
      </c>
      <c r="K67">
        <v>2</v>
      </c>
      <c r="L67">
        <v>0.49800000000000039</v>
      </c>
      <c r="M67">
        <v>1.1999385690289028</v>
      </c>
      <c r="N67">
        <v>2.8</v>
      </c>
      <c r="O67">
        <v>3.9999385690289024</v>
      </c>
      <c r="P67">
        <v>2.1</v>
      </c>
    </row>
    <row r="68" spans="1:16" x14ac:dyDescent="0.25">
      <c r="A68">
        <v>62</v>
      </c>
      <c r="B68">
        <v>0.42254156809141269</v>
      </c>
      <c r="C68">
        <v>0.42670237588992099</v>
      </c>
      <c r="D68">
        <v>0.42099536122582892</v>
      </c>
      <c r="E68">
        <v>21.127078404570636</v>
      </c>
      <c r="F68">
        <v>106.67559397248024</v>
      </c>
      <c r="G68">
        <v>294.69675285808023</v>
      </c>
      <c r="H68">
        <v>0.35711384336577645</v>
      </c>
      <c r="I68">
        <v>1.2934509209642389</v>
      </c>
      <c r="J68">
        <v>0.44943523566998489</v>
      </c>
      <c r="K68">
        <v>0</v>
      </c>
      <c r="L68">
        <v>0.50600000000000034</v>
      </c>
      <c r="M68">
        <v>0.89993768798601659</v>
      </c>
      <c r="N68">
        <v>2.1</v>
      </c>
      <c r="O68">
        <v>2.9999376879860167</v>
      </c>
      <c r="P68">
        <v>2.1</v>
      </c>
    </row>
    <row r="69" spans="1:16" x14ac:dyDescent="0.25">
      <c r="A69">
        <v>63</v>
      </c>
      <c r="B69">
        <v>0.41646079833926791</v>
      </c>
      <c r="C69">
        <v>0.41910324713656322</v>
      </c>
      <c r="D69">
        <v>0.42024254580842857</v>
      </c>
      <c r="E69">
        <v>20.823039916963396</v>
      </c>
      <c r="F69">
        <v>104.7758117841408</v>
      </c>
      <c r="G69">
        <v>294.16978206589999</v>
      </c>
      <c r="H69">
        <v>0.50258141682690094</v>
      </c>
      <c r="I69">
        <v>1.8315947251283133</v>
      </c>
      <c r="J69">
        <v>0.66582385804478572</v>
      </c>
      <c r="K69">
        <v>0</v>
      </c>
      <c r="L69">
        <v>0.51400000000000035</v>
      </c>
      <c r="M69">
        <v>1.1999049043039942</v>
      </c>
      <c r="N69">
        <v>3</v>
      </c>
      <c r="O69">
        <v>4.1999049043039944</v>
      </c>
      <c r="P69">
        <v>2.1</v>
      </c>
    </row>
    <row r="70" spans="1:16" x14ac:dyDescent="0.25">
      <c r="A70">
        <v>64</v>
      </c>
      <c r="B70">
        <v>0.49799657200310088</v>
      </c>
      <c r="C70">
        <v>0.5130281755773376</v>
      </c>
      <c r="D70">
        <v>0.43876173490044534</v>
      </c>
      <c r="E70">
        <v>24.899828600155047</v>
      </c>
      <c r="F70">
        <v>128.2570438943344</v>
      </c>
      <c r="G70">
        <v>307.13321443031174</v>
      </c>
      <c r="H70">
        <v>0.47871434653043815</v>
      </c>
      <c r="I70">
        <v>1.7550021285653468</v>
      </c>
      <c r="J70">
        <v>0.66628352490421516</v>
      </c>
      <c r="K70">
        <v>54.2</v>
      </c>
      <c r="L70">
        <v>0.52200000000000035</v>
      </c>
      <c r="M70">
        <v>1.0999835222126932</v>
      </c>
      <c r="N70">
        <v>2.9</v>
      </c>
      <c r="O70">
        <v>3.9999835222126929</v>
      </c>
      <c r="P70">
        <v>2.2000000000000002</v>
      </c>
    </row>
    <row r="71" spans="1:16" x14ac:dyDescent="0.25">
      <c r="A71">
        <v>65</v>
      </c>
      <c r="B71">
        <v>0.47620965642783647</v>
      </c>
      <c r="C71">
        <v>0.47582047033240987</v>
      </c>
      <c r="D71">
        <v>0.4562841861718066</v>
      </c>
      <c r="E71">
        <v>23.810482821391822</v>
      </c>
      <c r="F71">
        <v>118.95511758310246</v>
      </c>
      <c r="G71">
        <v>319.39893032026464</v>
      </c>
      <c r="H71">
        <v>0.43926664293342804</v>
      </c>
      <c r="I71">
        <v>1.6196155215379129</v>
      </c>
      <c r="J71">
        <v>0.6411178355286592</v>
      </c>
      <c r="K71">
        <v>8.4</v>
      </c>
      <c r="L71">
        <v>0.53000000000000036</v>
      </c>
      <c r="M71">
        <v>0.99997727421701821</v>
      </c>
      <c r="N71">
        <v>2.7</v>
      </c>
      <c r="O71">
        <v>3.6999772742170185</v>
      </c>
      <c r="P71">
        <v>2.2000000000000002</v>
      </c>
    </row>
    <row r="72" spans="1:16" x14ac:dyDescent="0.25">
      <c r="A72">
        <v>66</v>
      </c>
      <c r="B72">
        <v>0.46307439677631013</v>
      </c>
      <c r="C72">
        <v>0.4628246569225023</v>
      </c>
      <c r="D72">
        <v>0.45939747965217426</v>
      </c>
      <c r="E72">
        <v>23.153719838815505</v>
      </c>
      <c r="F72">
        <v>115.70616423062557</v>
      </c>
      <c r="G72">
        <v>321.57823575652196</v>
      </c>
      <c r="H72">
        <v>0.32075289175108118</v>
      </c>
      <c r="I72">
        <v>1.1891764900982569</v>
      </c>
      <c r="J72">
        <v>0.49007061815066194</v>
      </c>
      <c r="K72">
        <v>4.9000000000000004</v>
      </c>
      <c r="L72">
        <v>0.53800000000000037</v>
      </c>
      <c r="M72">
        <v>0.69997935599418615</v>
      </c>
      <c r="N72">
        <v>2</v>
      </c>
      <c r="O72">
        <v>2.699979355994186</v>
      </c>
      <c r="P72">
        <v>2.2000000000000002</v>
      </c>
    </row>
    <row r="73" spans="1:16" x14ac:dyDescent="0.25">
      <c r="A73">
        <v>67</v>
      </c>
      <c r="B73">
        <v>0.50970226762641557</v>
      </c>
      <c r="C73">
        <v>0.50574060052191794</v>
      </c>
      <c r="D73">
        <v>0.47630696271575412</v>
      </c>
      <c r="E73">
        <v>25.48511338132078</v>
      </c>
      <c r="F73">
        <v>126.43515013047949</v>
      </c>
      <c r="G73">
        <v>333.41487390102787</v>
      </c>
      <c r="H73">
        <v>0.71156865112909029</v>
      </c>
      <c r="I73">
        <v>2.6521555367709198</v>
      </c>
      <c r="J73">
        <v>1.1362758120999896</v>
      </c>
      <c r="K73">
        <v>41.3</v>
      </c>
      <c r="L73">
        <v>0.54600000000000037</v>
      </c>
      <c r="M73">
        <v>1.2999843166693548</v>
      </c>
      <c r="N73">
        <v>4.5</v>
      </c>
      <c r="O73">
        <v>5.799984316669355</v>
      </c>
      <c r="P73">
        <v>2.2999999999999998</v>
      </c>
    </row>
    <row r="74" spans="1:16" x14ac:dyDescent="0.25">
      <c r="A74">
        <v>68</v>
      </c>
      <c r="B74">
        <v>0.47547914592076179</v>
      </c>
      <c r="C74">
        <v>0.47624443198113742</v>
      </c>
      <c r="D74">
        <v>0.48102411558361957</v>
      </c>
      <c r="E74">
        <v>23.773957296038091</v>
      </c>
      <c r="F74">
        <v>119.06110799528436</v>
      </c>
      <c r="G74">
        <v>336.71688090853371</v>
      </c>
      <c r="H74">
        <v>0.26509533553154591</v>
      </c>
      <c r="I74">
        <v>0.993138187647434</v>
      </c>
      <c r="J74">
        <v>0.44176647682101999</v>
      </c>
      <c r="K74">
        <v>7.2</v>
      </c>
      <c r="L74">
        <v>0.55400000000000038</v>
      </c>
      <c r="M74">
        <v>0.49998847341345592</v>
      </c>
      <c r="N74">
        <v>1.7</v>
      </c>
      <c r="O74">
        <v>2.1999884734134558</v>
      </c>
      <c r="P74">
        <v>2.2999999999999998</v>
      </c>
    </row>
    <row r="75" spans="1:16" x14ac:dyDescent="0.25">
      <c r="A75">
        <v>69</v>
      </c>
      <c r="B75">
        <v>0.45177339444663056</v>
      </c>
      <c r="C75">
        <v>0.45711034879603635</v>
      </c>
      <c r="D75">
        <v>0.47355142934753414</v>
      </c>
      <c r="E75">
        <v>22.588669722331531</v>
      </c>
      <c r="F75">
        <v>114.27758719900909</v>
      </c>
      <c r="G75">
        <v>331.48600054327386</v>
      </c>
      <c r="H75">
        <v>0.5537163916363772</v>
      </c>
      <c r="I75">
        <v>2.0847000417927832</v>
      </c>
      <c r="J75">
        <v>0.96158356657083999</v>
      </c>
      <c r="K75">
        <v>0</v>
      </c>
      <c r="L75">
        <v>0.56200000000000039</v>
      </c>
      <c r="M75">
        <v>1.0999591624233334</v>
      </c>
      <c r="N75">
        <v>3.6</v>
      </c>
      <c r="O75">
        <v>4.6999591624233332</v>
      </c>
      <c r="P75">
        <v>2.2999999999999998</v>
      </c>
    </row>
    <row r="76" spans="1:16" x14ac:dyDescent="0.25">
      <c r="A76">
        <v>70</v>
      </c>
      <c r="B76">
        <v>0.49927792344865246</v>
      </c>
      <c r="C76">
        <v>0.494331164602413</v>
      </c>
      <c r="D76">
        <v>0.4767349493009263</v>
      </c>
      <c r="E76">
        <v>24.963896172432623</v>
      </c>
      <c r="F76">
        <v>123.58279115060326</v>
      </c>
      <c r="G76">
        <v>333.71446451064838</v>
      </c>
      <c r="H76">
        <v>0.7131732840874111</v>
      </c>
      <c r="I76">
        <v>2.69790704832256</v>
      </c>
      <c r="J76">
        <v>1.288919667590029</v>
      </c>
      <c r="K76">
        <v>30.3</v>
      </c>
      <c r="L76">
        <v>0.5700000000000004</v>
      </c>
      <c r="M76">
        <v>1.4999780618737257</v>
      </c>
      <c r="N76">
        <v>4.7</v>
      </c>
      <c r="O76">
        <v>6.1999780618737255</v>
      </c>
      <c r="P76">
        <v>2.2999999999999998</v>
      </c>
    </row>
    <row r="77" spans="1:16" x14ac:dyDescent="0.25">
      <c r="A77">
        <v>71</v>
      </c>
      <c r="B77">
        <v>0.45783061624477606</v>
      </c>
      <c r="C77">
        <v>0.46308948547159062</v>
      </c>
      <c r="D77">
        <v>0.47508853588931466</v>
      </c>
      <c r="E77">
        <v>22.891530812238805</v>
      </c>
      <c r="F77">
        <v>115.77237136789766</v>
      </c>
      <c r="G77">
        <v>332.56197512252021</v>
      </c>
      <c r="H77">
        <v>0.56894673195962653</v>
      </c>
      <c r="I77">
        <v>2.1622705666838264</v>
      </c>
      <c r="J77">
        <v>1.0687827013565465</v>
      </c>
      <c r="K77">
        <v>0</v>
      </c>
      <c r="L77">
        <v>0.5780000000000004</v>
      </c>
      <c r="M77">
        <v>0.99996720732893485</v>
      </c>
      <c r="N77">
        <v>3.8</v>
      </c>
      <c r="O77">
        <v>4.799967207328935</v>
      </c>
      <c r="P77">
        <v>2.4</v>
      </c>
    </row>
    <row r="78" spans="1:16" x14ac:dyDescent="0.25">
      <c r="A78">
        <v>72</v>
      </c>
      <c r="B78">
        <v>0.46529943344899688</v>
      </c>
      <c r="C78">
        <v>0.4629882679269387</v>
      </c>
      <c r="D78">
        <v>0.46989899811695635</v>
      </c>
      <c r="E78">
        <v>23.264971672449846</v>
      </c>
      <c r="F78">
        <v>115.74706698173468</v>
      </c>
      <c r="G78">
        <v>328.92929868186945</v>
      </c>
      <c r="H78">
        <v>0.31029481997460645</v>
      </c>
      <c r="I78">
        <v>1.1845507810224922</v>
      </c>
      <c r="J78">
        <v>0.60515439900290124</v>
      </c>
      <c r="K78">
        <v>6.8</v>
      </c>
      <c r="L78">
        <v>0.58600000000000041</v>
      </c>
      <c r="M78">
        <v>0.59998307800261907</v>
      </c>
      <c r="N78">
        <v>2.1</v>
      </c>
      <c r="O78">
        <v>2.6999830780026191</v>
      </c>
      <c r="P78">
        <v>2.4</v>
      </c>
    </row>
    <row r="79" spans="1:16" x14ac:dyDescent="0.25">
      <c r="A79">
        <v>73</v>
      </c>
      <c r="B79">
        <v>0.44594450757164494</v>
      </c>
      <c r="C79">
        <v>0.45096007228591484</v>
      </c>
      <c r="D79">
        <v>0.46499987656440483</v>
      </c>
      <c r="E79">
        <v>22.297225378582251</v>
      </c>
      <c r="F79">
        <v>112.74001807147872</v>
      </c>
      <c r="G79">
        <v>325.49991359508334</v>
      </c>
      <c r="H79">
        <v>0.3354476300604245</v>
      </c>
      <c r="I79">
        <v>1.2861215975694082</v>
      </c>
      <c r="J79">
        <v>0.67843077237016713</v>
      </c>
      <c r="K79">
        <v>0</v>
      </c>
      <c r="L79">
        <v>0.59400000000000042</v>
      </c>
      <c r="M79">
        <v>0.49997905006648863</v>
      </c>
      <c r="N79">
        <v>2.2999999999999998</v>
      </c>
      <c r="O79">
        <v>2.7999790500664883</v>
      </c>
      <c r="P79">
        <v>2.4</v>
      </c>
    </row>
    <row r="80" spans="1:16" x14ac:dyDescent="0.25">
      <c r="A80">
        <v>74</v>
      </c>
      <c r="B80">
        <v>0.48954571611950359</v>
      </c>
      <c r="C80">
        <v>0.48332855466866398</v>
      </c>
      <c r="D80">
        <v>0.46619719422840661</v>
      </c>
      <c r="E80">
        <v>24.477285805975182</v>
      </c>
      <c r="F80">
        <v>120.83213866716599</v>
      </c>
      <c r="G80">
        <v>326.33803595988456</v>
      </c>
      <c r="H80">
        <v>0.46074546638558039</v>
      </c>
      <c r="I80">
        <v>1.7739318550567866</v>
      </c>
      <c r="J80">
        <v>0.96532267855763298</v>
      </c>
      <c r="K80">
        <v>22.6</v>
      </c>
      <c r="L80">
        <v>0.60200000000000042</v>
      </c>
      <c r="M80">
        <v>0.69998770131182297</v>
      </c>
      <c r="N80">
        <v>3.2</v>
      </c>
      <c r="O80">
        <v>3.8999877013118232</v>
      </c>
      <c r="P80">
        <v>2.5</v>
      </c>
    </row>
    <row r="81" spans="1:16" x14ac:dyDescent="0.25">
      <c r="A81">
        <v>75</v>
      </c>
      <c r="B81">
        <v>0.4573953339549906</v>
      </c>
      <c r="C81">
        <v>0.4609084815059255</v>
      </c>
      <c r="D81">
        <v>0.46665022819738589</v>
      </c>
      <c r="E81">
        <v>22.869766697749533</v>
      </c>
      <c r="F81">
        <v>115.22712037648138</v>
      </c>
      <c r="G81">
        <v>326.65515973817008</v>
      </c>
      <c r="H81">
        <v>0.48336468691212009</v>
      </c>
      <c r="I81">
        <v>1.8685837140553605</v>
      </c>
      <c r="J81">
        <v>1.0480515990325192</v>
      </c>
      <c r="K81">
        <v>1</v>
      </c>
      <c r="L81">
        <v>0.61000000000000043</v>
      </c>
      <c r="M81">
        <v>0.69997684079444644</v>
      </c>
      <c r="N81">
        <v>3.4</v>
      </c>
      <c r="O81">
        <v>4.0999768407944464</v>
      </c>
      <c r="P81">
        <v>2.5</v>
      </c>
    </row>
    <row r="82" spans="1:16" x14ac:dyDescent="0.25">
      <c r="A82">
        <v>76</v>
      </c>
      <c r="B82">
        <v>0.4898369797055897</v>
      </c>
      <c r="C82">
        <v>0.48452301211931459</v>
      </c>
      <c r="D82">
        <v>0.46860280274112315</v>
      </c>
      <c r="E82">
        <v>24.491848985279486</v>
      </c>
      <c r="F82">
        <v>121.13075302982865</v>
      </c>
      <c r="G82">
        <v>328.02196191878619</v>
      </c>
      <c r="H82">
        <v>0.6879326777055117</v>
      </c>
      <c r="I82">
        <v>2.6698767294016599</v>
      </c>
      <c r="J82">
        <v>1.5421905928928288</v>
      </c>
      <c r="K82">
        <v>21</v>
      </c>
      <c r="L82">
        <v>0.61800000000000044</v>
      </c>
      <c r="M82">
        <v>0.89998427478695098</v>
      </c>
      <c r="N82">
        <v>4.9000000000000004</v>
      </c>
      <c r="O82">
        <v>5.7999842747869517</v>
      </c>
      <c r="P82">
        <v>2.5</v>
      </c>
    </row>
    <row r="83" spans="1:16" x14ac:dyDescent="0.25">
      <c r="A83">
        <v>77</v>
      </c>
      <c r="B83">
        <v>0.45593416016327831</v>
      </c>
      <c r="C83">
        <v>0.46023857716280769</v>
      </c>
      <c r="D83">
        <v>0.46788633813823027</v>
      </c>
      <c r="E83">
        <v>22.796708008163915</v>
      </c>
      <c r="F83">
        <v>115.05964429070193</v>
      </c>
      <c r="G83">
        <v>327.52043669676118</v>
      </c>
      <c r="H83">
        <v>0.58239851381559438</v>
      </c>
      <c r="I83">
        <v>2.2689320091049199</v>
      </c>
      <c r="J83">
        <v>1.348669477079486</v>
      </c>
      <c r="K83">
        <v>0</v>
      </c>
      <c r="L83">
        <v>0.62600000000000044</v>
      </c>
      <c r="M83">
        <v>0.69997614000316277</v>
      </c>
      <c r="N83">
        <v>4.2</v>
      </c>
      <c r="O83">
        <v>4.8999761400031634</v>
      </c>
      <c r="P83">
        <v>2.6</v>
      </c>
    </row>
    <row r="84" spans="1:16" x14ac:dyDescent="0.25">
      <c r="A84">
        <v>78</v>
      </c>
      <c r="B84">
        <v>0.49026192214961656</v>
      </c>
      <c r="C84">
        <v>0.48488428539978823</v>
      </c>
      <c r="D84">
        <v>0.46909227873057596</v>
      </c>
      <c r="E84">
        <v>24.513096107480827</v>
      </c>
      <c r="F84">
        <v>121.22107134994705</v>
      </c>
      <c r="G84">
        <v>328.36459511140316</v>
      </c>
      <c r="H84">
        <v>0.76708893510732479</v>
      </c>
      <c r="I84">
        <v>2.9995322871160006</v>
      </c>
      <c r="J84">
        <v>1.8333787777766741</v>
      </c>
      <c r="K84">
        <v>21</v>
      </c>
      <c r="L84">
        <v>0.63400000000000045</v>
      </c>
      <c r="M84">
        <v>0.79998613450859957</v>
      </c>
      <c r="N84">
        <v>5.6</v>
      </c>
      <c r="O84">
        <v>6.3999861345085991</v>
      </c>
      <c r="P84">
        <v>2.6</v>
      </c>
    </row>
    <row r="85" spans="1:16" x14ac:dyDescent="0.25">
      <c r="A85">
        <v>79</v>
      </c>
      <c r="B85">
        <v>0.45560625675689564</v>
      </c>
      <c r="C85">
        <v>0.46059578012895375</v>
      </c>
      <c r="D85">
        <v>0.46871320290686874</v>
      </c>
      <c r="E85">
        <v>22.780312837844782</v>
      </c>
      <c r="F85">
        <v>115.14894503223843</v>
      </c>
      <c r="G85">
        <v>328.09924203480813</v>
      </c>
      <c r="H85">
        <v>0.40600343552566437</v>
      </c>
      <c r="I85">
        <v>1.593297813491716</v>
      </c>
      <c r="J85">
        <v>1.0006987509826195</v>
      </c>
      <c r="K85">
        <v>0</v>
      </c>
      <c r="L85">
        <v>0.64200000000000046</v>
      </c>
      <c r="M85">
        <v>0.49998284252277392</v>
      </c>
      <c r="N85">
        <v>3</v>
      </c>
      <c r="O85">
        <v>3.4999828425227739</v>
      </c>
      <c r="P85">
        <v>2.6</v>
      </c>
    </row>
    <row r="86" spans="1:16" x14ac:dyDescent="0.25">
      <c r="A86">
        <v>80</v>
      </c>
      <c r="B86">
        <v>0.45068374448600612</v>
      </c>
      <c r="C86">
        <v>0.45206387876237969</v>
      </c>
      <c r="D86">
        <v>0.46336481771068189</v>
      </c>
      <c r="E86">
        <v>22.534187224300307</v>
      </c>
      <c r="F86">
        <v>113.01596969059493</v>
      </c>
      <c r="G86">
        <v>324.35537239747731</v>
      </c>
      <c r="H86">
        <v>0.48142011834319504</v>
      </c>
      <c r="I86">
        <v>1.8958579881656799</v>
      </c>
      <c r="J86">
        <v>1.2227218934911255</v>
      </c>
      <c r="K86">
        <v>1.2</v>
      </c>
      <c r="L86">
        <v>0.65000000000000047</v>
      </c>
      <c r="M86">
        <v>0.39998481207715136</v>
      </c>
      <c r="N86">
        <v>3.6</v>
      </c>
      <c r="O86">
        <v>3.9999848120771513</v>
      </c>
      <c r="P86">
        <v>2.7</v>
      </c>
    </row>
    <row r="87" spans="1:16" x14ac:dyDescent="0.25">
      <c r="A87">
        <v>81</v>
      </c>
      <c r="B87">
        <v>0.44000112428491372</v>
      </c>
      <c r="C87">
        <v>0.44454177271128248</v>
      </c>
      <c r="D87">
        <v>0.458848084530176</v>
      </c>
      <c r="E87">
        <v>22.000056214245689</v>
      </c>
      <c r="F87">
        <v>111.13544317782062</v>
      </c>
      <c r="G87">
        <v>321.19365917112322</v>
      </c>
      <c r="H87">
        <v>0.23788582884489232</v>
      </c>
      <c r="I87">
        <v>0.93998577248916726</v>
      </c>
      <c r="J87">
        <v>0.62212839866594061</v>
      </c>
      <c r="K87">
        <v>0</v>
      </c>
      <c r="L87">
        <v>0.65800000000000047</v>
      </c>
      <c r="M87">
        <v>0.19999050419362394</v>
      </c>
      <c r="N87">
        <v>1.8</v>
      </c>
      <c r="O87">
        <v>1.9999905041936239</v>
      </c>
      <c r="P87">
        <v>2.7</v>
      </c>
    </row>
    <row r="88" spans="1:16" x14ac:dyDescent="0.25">
      <c r="A88">
        <v>82</v>
      </c>
      <c r="B88">
        <v>0.45089834373728893</v>
      </c>
      <c r="C88">
        <v>0.44532291921161715</v>
      </c>
      <c r="D88">
        <v>0.45327570957316171</v>
      </c>
      <c r="E88">
        <v>22.544917186864449</v>
      </c>
      <c r="F88">
        <v>111.33072980290429</v>
      </c>
      <c r="G88">
        <v>317.29299670121321</v>
      </c>
      <c r="H88">
        <v>0.74456889321754138</v>
      </c>
      <c r="I88">
        <v>2.9518031545058556</v>
      </c>
      <c r="J88">
        <v>2.0036279522766032</v>
      </c>
      <c r="K88">
        <v>3</v>
      </c>
      <c r="L88">
        <v>0.66600000000000048</v>
      </c>
      <c r="M88">
        <v>0.59997731893621176</v>
      </c>
      <c r="N88">
        <v>5.7</v>
      </c>
      <c r="O88">
        <v>6.2999773189362118</v>
      </c>
      <c r="P88">
        <v>2.7</v>
      </c>
    </row>
    <row r="89" spans="1:16" x14ac:dyDescent="0.25">
      <c r="A89">
        <v>83</v>
      </c>
      <c r="B89">
        <v>0.48104663990299046</v>
      </c>
      <c r="C89">
        <v>0.47319872926602269</v>
      </c>
      <c r="D89">
        <v>0.45324953505027815</v>
      </c>
      <c r="E89">
        <v>24.052331995149526</v>
      </c>
      <c r="F89">
        <v>118.29968231650567</v>
      </c>
      <c r="G89">
        <v>317.27467453519472</v>
      </c>
      <c r="H89">
        <v>0.65855559175479184</v>
      </c>
      <c r="I89">
        <v>2.6191786491031865</v>
      </c>
      <c r="J89">
        <v>1.8222657591420215</v>
      </c>
      <c r="K89">
        <v>16.5</v>
      </c>
      <c r="L89">
        <v>0.67400000000000049</v>
      </c>
      <c r="M89">
        <v>0.39999172654982018</v>
      </c>
      <c r="N89">
        <v>5.0999999999999996</v>
      </c>
      <c r="O89">
        <v>5.4999917265498199</v>
      </c>
      <c r="P89">
        <v>2.8</v>
      </c>
    </row>
    <row r="90" spans="1:16" x14ac:dyDescent="0.25">
      <c r="A90">
        <v>84</v>
      </c>
      <c r="B90">
        <v>0.47250155906280633</v>
      </c>
      <c r="C90">
        <v>0.46997731260613801</v>
      </c>
      <c r="D90">
        <v>0.45756144462766518</v>
      </c>
      <c r="E90">
        <v>23.62507795314032</v>
      </c>
      <c r="F90">
        <v>117.4943281515345</v>
      </c>
      <c r="G90">
        <v>320.29301123936563</v>
      </c>
      <c r="H90">
        <v>0.40852761844153362</v>
      </c>
      <c r="I90">
        <v>1.6298449445739196</v>
      </c>
      <c r="J90">
        <v>1.1616274369845472</v>
      </c>
      <c r="K90">
        <v>8.1999999999999993</v>
      </c>
      <c r="L90">
        <v>0.68200000000000049</v>
      </c>
      <c r="M90">
        <v>0.19999511145575755</v>
      </c>
      <c r="N90">
        <v>3.2</v>
      </c>
      <c r="O90">
        <v>3.3999951114557576</v>
      </c>
      <c r="P90">
        <v>2.8</v>
      </c>
    </row>
    <row r="91" spans="1:16" x14ac:dyDescent="0.25">
      <c r="A91">
        <v>85</v>
      </c>
      <c r="B91">
        <v>0.47914123254814339</v>
      </c>
      <c r="C91">
        <v>0.47522213197455998</v>
      </c>
      <c r="D91">
        <v>0.46093199313337707</v>
      </c>
      <c r="E91">
        <v>23.957061627407171</v>
      </c>
      <c r="F91">
        <v>118.80553299364</v>
      </c>
      <c r="G91">
        <v>322.65239519336393</v>
      </c>
      <c r="H91">
        <v>0.54280613316530102</v>
      </c>
      <c r="I91">
        <v>2.1721277042638083</v>
      </c>
      <c r="J91">
        <v>1.5850661625708902</v>
      </c>
      <c r="K91">
        <v>12</v>
      </c>
      <c r="L91">
        <v>0.6900000000000005</v>
      </c>
      <c r="M91">
        <v>0.29999356116824516</v>
      </c>
      <c r="N91">
        <v>4.3</v>
      </c>
      <c r="O91">
        <v>4.5999935611682448</v>
      </c>
      <c r="P91">
        <v>2.8</v>
      </c>
    </row>
    <row r="92" spans="1:16" x14ac:dyDescent="0.25">
      <c r="A92">
        <v>86</v>
      </c>
      <c r="B92">
        <v>0.52099764760523937</v>
      </c>
      <c r="C92">
        <v>0.52076192609967298</v>
      </c>
      <c r="D92">
        <v>0.49825146327386355</v>
      </c>
      <c r="E92">
        <v>26.04988238026197</v>
      </c>
      <c r="F92">
        <v>130.19048152491825</v>
      </c>
      <c r="G92">
        <v>348.77602429170446</v>
      </c>
      <c r="H92">
        <v>0.61169038021034272</v>
      </c>
      <c r="I92">
        <v>2.4550085795683114</v>
      </c>
      <c r="J92">
        <v>1.8333010402213465</v>
      </c>
      <c r="K92">
        <v>63</v>
      </c>
      <c r="L92">
        <v>0.69800000000000051</v>
      </c>
      <c r="M92">
        <v>0.19999803286733212</v>
      </c>
      <c r="N92">
        <v>4.9000000000000004</v>
      </c>
      <c r="O92">
        <v>5.0999980328673322</v>
      </c>
      <c r="P92">
        <v>2.9</v>
      </c>
    </row>
    <row r="93" spans="1:16" x14ac:dyDescent="0.25">
      <c r="A93">
        <v>87</v>
      </c>
      <c r="B93">
        <v>0.48758778354549215</v>
      </c>
      <c r="C93">
        <v>0.48757111638414491</v>
      </c>
      <c r="D93">
        <v>0.49450785321910601</v>
      </c>
      <c r="E93">
        <v>24.379389177274611</v>
      </c>
      <c r="F93">
        <v>121.89277909603622</v>
      </c>
      <c r="G93">
        <v>346.15549725337416</v>
      </c>
      <c r="H93">
        <v>0.666717492315964</v>
      </c>
      <c r="I93">
        <v>2.6835541574043598</v>
      </c>
      <c r="J93">
        <v>2.0497283502796768</v>
      </c>
      <c r="K93">
        <v>11.1</v>
      </c>
      <c r="L93">
        <v>0.70600000000000052</v>
      </c>
      <c r="M93">
        <v>0.19999635240618402</v>
      </c>
      <c r="N93">
        <v>5.4</v>
      </c>
      <c r="O93">
        <v>5.5999963524061842</v>
      </c>
      <c r="P93">
        <v>2.9</v>
      </c>
    </row>
    <row r="94" spans="1:16" x14ac:dyDescent="0.25">
      <c r="A94">
        <v>88</v>
      </c>
      <c r="B94">
        <v>0.46092274167669745</v>
      </c>
      <c r="C94">
        <v>0.4662974072689588</v>
      </c>
      <c r="D94">
        <v>0.4827884309551288</v>
      </c>
      <c r="E94">
        <v>23.046137083834875</v>
      </c>
      <c r="F94">
        <v>116.5743518172397</v>
      </c>
      <c r="G94">
        <v>337.95190166859015</v>
      </c>
      <c r="H94">
        <v>0.34195639039929682</v>
      </c>
      <c r="I94">
        <v>1.3802383698577461</v>
      </c>
      <c r="J94">
        <v>1.0778052397429569</v>
      </c>
      <c r="K94">
        <v>0</v>
      </c>
      <c r="L94">
        <v>0.71400000000000052</v>
      </c>
      <c r="M94">
        <v>9.9996920071444631E-2</v>
      </c>
      <c r="N94">
        <v>2.8</v>
      </c>
      <c r="O94">
        <v>2.8999969200714446</v>
      </c>
      <c r="P94">
        <v>2.9</v>
      </c>
    </row>
    <row r="95" spans="1:16" x14ac:dyDescent="0.25">
      <c r="A95">
        <v>89</v>
      </c>
      <c r="B95">
        <v>0.45369212682229249</v>
      </c>
      <c r="C95">
        <v>0.45718772921124645</v>
      </c>
      <c r="D95">
        <v>0.47306284140656646</v>
      </c>
      <c r="E95">
        <v>22.684606341114627</v>
      </c>
      <c r="F95">
        <v>114.29693230281161</v>
      </c>
      <c r="G95">
        <v>331.14398898459649</v>
      </c>
      <c r="H95">
        <v>0.33828776636152247</v>
      </c>
      <c r="I95">
        <v>1.3691576952294713</v>
      </c>
      <c r="J95">
        <v>1.0925545384090061</v>
      </c>
      <c r="K95">
        <v>0.6</v>
      </c>
      <c r="L95">
        <v>0.72200000000000053</v>
      </c>
      <c r="M95">
        <v>0</v>
      </c>
      <c r="N95">
        <v>2.8</v>
      </c>
      <c r="O95">
        <v>2.8</v>
      </c>
      <c r="P95">
        <v>3</v>
      </c>
    </row>
    <row r="96" spans="1:16" x14ac:dyDescent="0.25">
      <c r="A96">
        <v>90</v>
      </c>
      <c r="B96">
        <v>0.44949843920314136</v>
      </c>
      <c r="C96">
        <v>0.45119874089799711</v>
      </c>
      <c r="D96">
        <v>0.46481932143587046</v>
      </c>
      <c r="E96">
        <v>22.474921960157069</v>
      </c>
      <c r="F96">
        <v>112.79968522449927</v>
      </c>
      <c r="G96">
        <v>325.37352500510929</v>
      </c>
      <c r="H96">
        <v>0.59767310940138829</v>
      </c>
      <c r="I96">
        <v>2.4254081441170943</v>
      </c>
      <c r="J96">
        <v>1.9769187464815174</v>
      </c>
      <c r="K96">
        <v>0</v>
      </c>
      <c r="L96">
        <v>0.73000000000000054</v>
      </c>
      <c r="M96">
        <v>0</v>
      </c>
      <c r="N96">
        <v>5</v>
      </c>
      <c r="O96">
        <v>5</v>
      </c>
      <c r="P96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113</vt:i4>
      </vt:variant>
    </vt:vector>
  </HeadingPairs>
  <TitlesOfParts>
    <vt:vector size="117" baseType="lpstr">
      <vt:lpstr>Control</vt:lpstr>
      <vt:lpstr>Table</vt:lpstr>
      <vt:lpstr>Model</vt:lpstr>
      <vt:lpstr>Output</vt:lpstr>
      <vt:lpstr>_criteria</vt:lpstr>
      <vt:lpstr>_operation</vt:lpstr>
      <vt:lpstr>_option</vt:lpstr>
      <vt:lpstr>_prerun</vt:lpstr>
      <vt:lpstr>_read</vt:lpstr>
      <vt:lpstr>_step</vt:lpstr>
      <vt:lpstr>_stepsize</vt:lpstr>
      <vt:lpstr>_write</vt:lpstr>
      <vt:lpstr>ae_1</vt:lpstr>
      <vt:lpstr>ae_2</vt:lpstr>
      <vt:lpstr>ae_3</vt:lpstr>
      <vt:lpstr>aet_1</vt:lpstr>
      <vt:lpstr>aet_2</vt:lpstr>
      <vt:lpstr>aet_3</vt:lpstr>
      <vt:lpstr>awc_1</vt:lpstr>
      <vt:lpstr>awc_2</vt:lpstr>
      <vt:lpstr>awc_3</vt:lpstr>
      <vt:lpstr>clay_1</vt:lpstr>
      <vt:lpstr>clay_2</vt:lpstr>
      <vt:lpstr>clay_3</vt:lpstr>
      <vt:lpstr>critical_root</vt:lpstr>
      <vt:lpstr>cummthick_1</vt:lpstr>
      <vt:lpstr>cummthick_2</vt:lpstr>
      <vt:lpstr>cummthick_3</vt:lpstr>
      <vt:lpstr>day</vt:lpstr>
      <vt:lpstr>depth_1</vt:lpstr>
      <vt:lpstr>depth_2</vt:lpstr>
      <vt:lpstr>depth_3</vt:lpstr>
      <vt:lpstr>dist_1</vt:lpstr>
      <vt:lpstr>dist_2</vt:lpstr>
      <vt:lpstr>dist_3</vt:lpstr>
      <vt:lpstr>e</vt:lpstr>
      <vt:lpstr>e_1</vt:lpstr>
      <vt:lpstr>e_2</vt:lpstr>
      <vt:lpstr>e_3</vt:lpstr>
      <vt:lpstr>fc_1</vt:lpstr>
      <vt:lpstr>fc_2</vt:lpstr>
      <vt:lpstr>fc_3</vt:lpstr>
      <vt:lpstr>h_1</vt:lpstr>
      <vt:lpstr>h_2</vt:lpstr>
      <vt:lpstr>h_3</vt:lpstr>
      <vt:lpstr>has_watertable</vt:lpstr>
      <vt:lpstr>hg_1</vt:lpstr>
      <vt:lpstr>hg_2</vt:lpstr>
      <vt:lpstr>hg_3</vt:lpstr>
      <vt:lpstr>hm_1</vt:lpstr>
      <vt:lpstr>hm_2</vt:lpstr>
      <vt:lpstr>hm_3</vt:lpstr>
      <vt:lpstr>k_1</vt:lpstr>
      <vt:lpstr>k_2</vt:lpstr>
      <vt:lpstr>k_3</vt:lpstr>
      <vt:lpstr>kmean_2</vt:lpstr>
      <vt:lpstr>kmean_3</vt:lpstr>
      <vt:lpstr>ksat_1</vt:lpstr>
      <vt:lpstr>ksat_2</vt:lpstr>
      <vt:lpstr>ksat_3</vt:lpstr>
      <vt:lpstr>lai</vt:lpstr>
      <vt:lpstr>netrain</vt:lpstr>
      <vt:lpstr>numintervals</vt:lpstr>
      <vt:lpstr>om_1</vt:lpstr>
      <vt:lpstr>om_2</vt:lpstr>
      <vt:lpstr>om_3</vt:lpstr>
      <vt:lpstr>psd_1</vt:lpstr>
      <vt:lpstr>psd_2</vt:lpstr>
      <vt:lpstr>psd_3</vt:lpstr>
      <vt:lpstr>pwp_1</vt:lpstr>
      <vt:lpstr>pwp_2</vt:lpstr>
      <vt:lpstr>pwp_3</vt:lpstr>
      <vt:lpstr>pwp_root</vt:lpstr>
      <vt:lpstr>rain</vt:lpstr>
      <vt:lpstr>rootdepth</vt:lpstr>
      <vt:lpstr>sand_1</vt:lpstr>
      <vt:lpstr>sand_2</vt:lpstr>
      <vt:lpstr>sand_3</vt:lpstr>
      <vt:lpstr>sat_1</vt:lpstr>
      <vt:lpstr>sat_2</vt:lpstr>
      <vt:lpstr>sat_3</vt:lpstr>
      <vt:lpstr>sat_root</vt:lpstr>
      <vt:lpstr>t</vt:lpstr>
      <vt:lpstr>t_1</vt:lpstr>
      <vt:lpstr>t_2</vt:lpstr>
      <vt:lpstr>t_3</vt:lpstr>
      <vt:lpstr>theta0_1</vt:lpstr>
      <vt:lpstr>theta0_2</vt:lpstr>
      <vt:lpstr>theta0_3</vt:lpstr>
      <vt:lpstr>theta1500_1</vt:lpstr>
      <vt:lpstr>theta1500_2</vt:lpstr>
      <vt:lpstr>theta1500_3</vt:lpstr>
      <vt:lpstr>theta1500t_1</vt:lpstr>
      <vt:lpstr>theta1500t_2</vt:lpstr>
      <vt:lpstr>theta1500t_3</vt:lpstr>
      <vt:lpstr>theta33_1</vt:lpstr>
      <vt:lpstr>theta33_2</vt:lpstr>
      <vt:lpstr>theta33_3</vt:lpstr>
      <vt:lpstr>theta33t_1</vt:lpstr>
      <vt:lpstr>theta33t_2</vt:lpstr>
      <vt:lpstr>theta33t_3</vt:lpstr>
      <vt:lpstr>thetas33_1</vt:lpstr>
      <vt:lpstr>thetas33_2</vt:lpstr>
      <vt:lpstr>thetas33_3</vt:lpstr>
      <vt:lpstr>thetas33t_1</vt:lpstr>
      <vt:lpstr>thetas33t_2</vt:lpstr>
      <vt:lpstr>thetas33t_3</vt:lpstr>
      <vt:lpstr>thick_1</vt:lpstr>
      <vt:lpstr>thick_2</vt:lpstr>
      <vt:lpstr>thick_3</vt:lpstr>
      <vt:lpstr>vwc_1</vt:lpstr>
      <vt:lpstr>vwc_2</vt:lpstr>
      <vt:lpstr>vwc_3</vt:lpstr>
      <vt:lpstr>vwc_root</vt:lpstr>
      <vt:lpstr>wc_1</vt:lpstr>
      <vt:lpstr>wc_2</vt:lpstr>
      <vt:lpstr>wc_3</vt:lpstr>
    </vt:vector>
  </TitlesOfParts>
  <Company>Fakulti Pertanian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Dewan Kuliah 1</dc:creator>
  <cp:lastModifiedBy>Christopher Teh</cp:lastModifiedBy>
  <dcterms:created xsi:type="dcterms:W3CDTF">2016-01-30T06:47:21Z</dcterms:created>
  <dcterms:modified xsi:type="dcterms:W3CDTF">2017-12-19T02:54:48Z</dcterms:modified>
</cp:coreProperties>
</file>