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75" tabRatio="202" firstSheet="1" activeTab="1"/>
  </bookViews>
  <sheets>
    <sheet name="New-30" sheetId="1" r:id="rId1"/>
    <sheet name="Model" sheetId="2" r:id="rId2"/>
  </sheets>
  <definedNames>
    <definedName name="_xlnm._FilterDatabase" localSheetId="0" hidden="1">'New-30'!$AW$1:$BC$313</definedName>
  </definedNames>
  <calcPr fullCalcOnLoad="1"/>
</workbook>
</file>

<file path=xl/sharedStrings.xml><?xml version="1.0" encoding="utf-8"?>
<sst xmlns="http://schemas.openxmlformats.org/spreadsheetml/2006/main" count="881" uniqueCount="77">
  <si>
    <t>Wet-sieving Model</t>
  </si>
  <si>
    <t>Size fraction</t>
  </si>
  <si>
    <t>Each size fraction sieved and its distribution</t>
  </si>
  <si>
    <t>Sand distribution</t>
  </si>
  <si>
    <t>Total</t>
  </si>
  <si>
    <t>Actual</t>
  </si>
  <si>
    <t>(mm)</t>
  </si>
  <si>
    <t>4.76-8.0</t>
  </si>
  <si>
    <t>2.83-4.76</t>
  </si>
  <si>
    <t>2.0-2.83</t>
  </si>
  <si>
    <t>1.0-2.0</t>
  </si>
  <si>
    <t>0.5-1.0</t>
  </si>
  <si>
    <t>0.3-0.5</t>
  </si>
  <si>
    <t>&lt;0.3</t>
  </si>
  <si>
    <r>
      <t>D</t>
    </r>
    <r>
      <rPr>
        <vertAlign val="subscript"/>
        <sz val="10"/>
        <rFont val="Arial"/>
        <family val="2"/>
      </rPr>
      <t>i</t>
    </r>
  </si>
  <si>
    <t>Calibrated</t>
  </si>
  <si>
    <t>Act/est</t>
  </si>
  <si>
    <t>b</t>
  </si>
  <si>
    <t>total</t>
  </si>
  <si>
    <t>se</t>
  </si>
  <si>
    <t xml:space="preserve">b = </t>
  </si>
  <si>
    <t>SSE =</t>
  </si>
  <si>
    <t xml:space="preserve">est. x1 = </t>
  </si>
  <si>
    <t xml:space="preserve">A / x1 = </t>
  </si>
  <si>
    <t xml:space="preserve">% x1 = </t>
  </si>
  <si>
    <t>Sim</t>
  </si>
  <si>
    <t>Soil</t>
  </si>
  <si>
    <t>Sieve</t>
  </si>
  <si>
    <t>Diff</t>
  </si>
  <si>
    <t>%Agg. Stability Diff</t>
  </si>
  <si>
    <t>Wa</t>
  </si>
  <si>
    <t>Each size fraction sieved and its estimated distribution</t>
  </si>
  <si>
    <t>b(1,2)</t>
  </si>
  <si>
    <t>b(1,3)</t>
  </si>
  <si>
    <t>b(1,4)</t>
  </si>
  <si>
    <t>b(1,5)</t>
  </si>
  <si>
    <t>b(1,6)</t>
  </si>
  <si>
    <t>A =</t>
  </si>
  <si>
    <t>B =</t>
  </si>
  <si>
    <t>C =</t>
  </si>
  <si>
    <t>Est.</t>
  </si>
  <si>
    <t>xi</t>
  </si>
  <si>
    <t>%</t>
  </si>
  <si>
    <t>SSE</t>
  </si>
  <si>
    <t>3) OP (top)</t>
  </si>
  <si>
    <t>2) Rubber (sub)</t>
  </si>
  <si>
    <t>1) Rubber (top)</t>
  </si>
  <si>
    <t>4) OP (sub)</t>
  </si>
  <si>
    <t>5) Pine (top)</t>
  </si>
  <si>
    <t>6) Pine (sub)</t>
  </si>
  <si>
    <t>7) Prang (top)</t>
  </si>
  <si>
    <t>8) Prang (sub)</t>
  </si>
  <si>
    <t>9) Bungor (top)</t>
  </si>
  <si>
    <t>10) Bungor (sub)</t>
  </si>
  <si>
    <t>11) Vegetable (top)</t>
  </si>
  <si>
    <t>12) Vegetable (sub)</t>
  </si>
  <si>
    <r>
      <t>W</t>
    </r>
    <r>
      <rPr>
        <vertAlign val="subscript"/>
        <sz val="10"/>
        <rFont val="Arial"/>
        <family val="2"/>
      </rPr>
      <t>bi</t>
    </r>
  </si>
  <si>
    <r>
      <t>Wa</t>
    </r>
    <r>
      <rPr>
        <vertAlign val="subscript"/>
        <sz val="10"/>
        <rFont val="Arial"/>
        <family val="2"/>
      </rPr>
      <t>i</t>
    </r>
  </si>
  <si>
    <t>5-8</t>
  </si>
  <si>
    <t>3-5</t>
  </si>
  <si>
    <t>2-3</t>
  </si>
  <si>
    <t>1-2</t>
  </si>
  <si>
    <t>0.5-1</t>
  </si>
  <si>
    <t>i</t>
  </si>
  <si>
    <t>(g)</t>
  </si>
  <si>
    <t>Sieve no.</t>
  </si>
  <si>
    <t>ESTIMATED DISTRIBUTION OF RETAINED AGGREGATES:</t>
  </si>
  <si>
    <r>
      <t>b</t>
    </r>
    <r>
      <rPr>
        <b/>
        <vertAlign val="subscript"/>
        <sz val="10"/>
        <rFont val="Arial"/>
        <family val="2"/>
      </rPr>
      <t>i,j</t>
    </r>
  </si>
  <si>
    <t>j</t>
  </si>
  <si>
    <r>
      <t>b</t>
    </r>
    <r>
      <rPr>
        <vertAlign val="subscript"/>
        <sz val="10"/>
        <rFont val="Arial"/>
        <family val="2"/>
      </rPr>
      <t>1,2</t>
    </r>
  </si>
  <si>
    <r>
      <t>b</t>
    </r>
    <r>
      <rPr>
        <vertAlign val="subscript"/>
        <sz val="10"/>
        <rFont val="Arial"/>
        <family val="2"/>
      </rPr>
      <t>1,3</t>
    </r>
  </si>
  <si>
    <r>
      <t>b</t>
    </r>
    <r>
      <rPr>
        <vertAlign val="subscript"/>
        <sz val="10"/>
        <rFont val="Arial"/>
        <family val="2"/>
      </rPr>
      <t>1,4</t>
    </r>
  </si>
  <si>
    <r>
      <t>b</t>
    </r>
    <r>
      <rPr>
        <vertAlign val="subscript"/>
        <sz val="10"/>
        <rFont val="Arial"/>
        <family val="2"/>
      </rPr>
      <t>1,5</t>
    </r>
  </si>
  <si>
    <r>
      <t>b</t>
    </r>
    <r>
      <rPr>
        <vertAlign val="subscript"/>
        <sz val="10"/>
        <rFont val="Arial"/>
        <family val="2"/>
      </rPr>
      <t>1,6</t>
    </r>
  </si>
  <si>
    <t>WET SIEVING RESULTS:</t>
  </si>
  <si>
    <t>Ruptured aggregates</t>
  </si>
  <si>
    <r>
      <t>w</t>
    </r>
    <r>
      <rPr>
        <b/>
        <vertAlign val="subscript"/>
        <sz val="10"/>
        <rFont val="Arial"/>
        <family val="2"/>
      </rPr>
      <t>i,j</t>
    </r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</si>
</sst>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000"/>
    <numFmt numFmtId="179" formatCode="\(0.00\)"/>
    <numFmt numFmtId="180" formatCode="#0.00"/>
    <numFmt numFmtId="181" formatCode="0.00000000000000"/>
    <numFmt numFmtId="182" formatCode="0.0000000000000"/>
    <numFmt numFmtId="183" formatCode="0.0000000000000000"/>
    <numFmt numFmtId="184" formatCode="0.00000000000000000"/>
    <numFmt numFmtId="185" formatCode="dd/mm/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1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S_MODEL_NEW.XLS Chart 9" xfId="19"/>
    <cellStyle name="Normal_Book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'New-30'!$AY$2:$AY$313</c:f>
              <c:numCache>
                <c:ptCount val="3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</c:numCache>
            </c:numRef>
          </c:xVal>
          <c:yVal>
            <c:numRef>
              <c:f>'New-30'!$AZ$2:$AZ$313</c:f>
              <c:numCache>
                <c:ptCount val="3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30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30</c:v>
              </c:pt>
            </c:numLit>
          </c:yVal>
          <c:smooth val="0"/>
        </c:ser>
        <c:axId val="63862244"/>
        <c:axId val="37889285"/>
      </c:scatterChart>
      <c:valAx>
        <c:axId val="6386224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actual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889285"/>
        <c:crosses val="autoZero"/>
        <c:crossBetween val="midCat"/>
        <c:dispUnits/>
        <c:majorUnit val="5"/>
      </c:valAx>
      <c:valAx>
        <c:axId val="3788928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estimated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386224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('New-30'!$Q$9:$Q$13,'New-30'!$Q$22:$Q$26,'New-30'!$Q$35:$Q$39,'New-30'!$Q$48:$Q$52,'New-30'!$Q$61:$Q$65,'New-30'!$Q$74:$Q$78,'New-30'!$Q$87:$Q$91,'New-30'!$Q$100:$Q$104,'New-30'!$Q$113:$Q$117,'New-30'!$Q$126:$Q$130,'New-30'!$Q$139:$Q$143,'New-30'!$Q$152:$Q$156)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('New-30'!$R$9:$R$13,'New-30'!$R$22:$R$26,'New-30'!$R$35:$R$39,'New-30'!$R$48:$R$52,'New-30'!$R$61:$R$65,'New-30'!$R$74:$R$78,'New-30'!$R$87:$R$91,'New-30'!$R$100:$R$104,'New-30'!$R$113:$R$117,'New-30'!$R$126:$R$130,'New-30'!$R$139:$R$143,'New-30'!$R$152:$R$156)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20</c:v>
              </c:pt>
            </c:numLit>
          </c:yVal>
          <c:smooth val="0"/>
        </c:ser>
        <c:axId val="5459246"/>
        <c:axId val="49133215"/>
      </c:scatterChart>
      <c:valAx>
        <c:axId val="545924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actual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133215"/>
        <c:crosses val="autoZero"/>
        <c:crossBetween val="midCat"/>
        <c:dispUnits/>
        <c:majorUnit val="5"/>
      </c:valAx>
      <c:valAx>
        <c:axId val="4913321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estimated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59246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('New-30'!$S$9:$S$13,'New-30'!$S$22:$S$26,'New-30'!$S$35:$S$39,'New-30'!$S$48:$S$52,'New-30'!$S$61:$S$65,'New-30'!$S$74:$S$78,'New-30'!$S$87:$S$91,'New-30'!$S$100:$S$104,'New-30'!$S$113:$S$117,'New-30'!$S$126:$S$130,'New-30'!$S$139:$S$143,'New-30'!$S$152:$S$156)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('New-30'!$T$9:$T$13,'New-30'!$T$22:$T$26,'New-30'!$T$35:$T$39,'New-30'!$T$48:$T$52,'New-30'!$T$61:$T$65,'New-30'!$T$74:$T$78,'New-30'!$T$87:$T$91,'New-30'!$T$100:$T$104,'New-30'!$T$113:$T$117,'New-30'!$T$126:$T$130,'New-30'!$T$139:$T$143,'New-30'!$T$152:$T$156)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9545752"/>
        <c:axId val="20367449"/>
      </c:scatterChart>
      <c:valAx>
        <c:axId val="39545752"/>
        <c:scaling>
          <c:orientation val="minMax"/>
          <c:max val="1"/>
        </c:scaling>
        <c:axPos val="b"/>
        <c:delete val="0"/>
        <c:numFmt formatCode="General" sourceLinked="0"/>
        <c:majorTickMark val="out"/>
        <c:minorTickMark val="none"/>
        <c:tickLblPos val="nextTo"/>
        <c:crossAx val="20367449"/>
        <c:crosses val="autoZero"/>
        <c:crossBetween val="midCat"/>
        <c:dispUnits/>
      </c:valAx>
      <c:valAx>
        <c:axId val="2036744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95457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04"/>
          <c:w val="0.82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'New-30'!$AZ$2:$AZ$313</c:f>
              <c:numCache>
                <c:ptCount val="3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</c:numCache>
            </c:numRef>
          </c:xVal>
          <c:yVal>
            <c:numRef>
              <c:f>'New-30'!$BA$2:$BA$313</c:f>
              <c:numCache>
                <c:ptCount val="3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'New-30'!$BF$37:$BF$38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'New-30'!$BG$37:$BG$38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'New-30'!$BD$37:$BD$38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'New-30'!$BE$37:$BE$38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9089314"/>
        <c:axId val="39150643"/>
      </c:scatterChart>
      <c:valAx>
        <c:axId val="4908931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estimated (g)</a:t>
                </a:r>
              </a:p>
            </c:rich>
          </c:tx>
          <c:layout>
            <c:manualLayout>
              <c:xMode val="factor"/>
              <c:yMode val="factor"/>
              <c:x val="0.14725"/>
              <c:y val="0.09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150643"/>
        <c:crosses val="autoZero"/>
        <c:crossBetween val="midCat"/>
        <c:dispUnits/>
        <c:majorUnit val="5"/>
      </c:valAx>
      <c:valAx>
        <c:axId val="39150643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error (estimated - actual)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089314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(Model!#REF!,Model!#REF!,Model!#REF!,Model!#REF!,Model!#REF!,Model!#REF!,Model!#REF!,Model!#REF!,Model!#REF!,Model!#REF!,Model!#REF!,Model!#REF!)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(Model!#REF!,Model!#REF!,Model!#REF!,Model!#REF!,Model!#REF!,Model!#REF!,Model!#REF!,Model!#REF!,Model!#REF!,Model!#REF!,Model!#REF!,Model!#REF!)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16811468"/>
        <c:axId val="17085485"/>
      </c:scatterChart>
      <c:valAx>
        <c:axId val="168114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085485"/>
        <c:crosses val="autoZero"/>
        <c:crossBetween val="midCat"/>
        <c:dispUnits/>
      </c:valAx>
      <c:valAx>
        <c:axId val="1708548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68114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0.1835</cdr:y>
    </cdr:from>
    <cdr:to>
      <cdr:x>0.84225</cdr:x>
      <cdr:y>0.26225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43815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1:1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0.138</cdr:y>
    </cdr:from>
    <cdr:to>
      <cdr:x>0.823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3333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1:1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56</xdr:col>
      <xdr:colOff>0</xdr:colOff>
      <xdr:row>1</xdr:row>
      <xdr:rowOff>0</xdr:rowOff>
    </xdr:from>
    <xdr:to>
      <xdr:col>60</xdr:col>
      <xdr:colOff>9525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8898850" y="200025"/>
        <a:ext cx="24479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56</xdr:col>
      <xdr:colOff>0</xdr:colOff>
      <xdr:row>17</xdr:row>
      <xdr:rowOff>0</xdr:rowOff>
    </xdr:from>
    <xdr:to>
      <xdr:col>60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8898850" y="2790825"/>
        <a:ext cx="24479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60</xdr:col>
      <xdr:colOff>590550</xdr:colOff>
      <xdr:row>18</xdr:row>
      <xdr:rowOff>9525</xdr:rowOff>
    </xdr:from>
    <xdr:to>
      <xdr:col>66</xdr:col>
      <xdr:colOff>9525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31927800" y="2962275"/>
        <a:ext cx="30765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61</xdr:col>
      <xdr:colOff>0</xdr:colOff>
      <xdr:row>1</xdr:row>
      <xdr:rowOff>9525</xdr:rowOff>
    </xdr:from>
    <xdr:to>
      <xdr:col>65</xdr:col>
      <xdr:colOff>9525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31946850" y="209550"/>
        <a:ext cx="24479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47</xdr:col>
      <xdr:colOff>400050</xdr:colOff>
      <xdr:row>34</xdr:row>
      <xdr:rowOff>152400</xdr:rowOff>
    </xdr:from>
    <xdr:to>
      <xdr:col>52</xdr:col>
      <xdr:colOff>428625</xdr:colOff>
      <xdr:row>51</xdr:row>
      <xdr:rowOff>66675</xdr:rowOff>
    </xdr:to>
    <xdr:graphicFrame>
      <xdr:nvGraphicFramePr>
        <xdr:cNvPr id="1" name="Chart 3"/>
        <xdr:cNvGraphicFramePr/>
      </xdr:nvGraphicFramePr>
      <xdr:xfrm>
        <a:off x="28555950" y="5734050"/>
        <a:ext cx="3076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3"/>
  <sheetViews>
    <sheetView zoomScale="75" zoomScaleNormal="75" workbookViewId="0" topLeftCell="A1">
      <selection activeCell="AY2" sqref="AY2"/>
    </sheetView>
  </sheetViews>
  <sheetFormatPr defaultColWidth="9.140625" defaultRowHeight="12.75"/>
  <cols>
    <col min="1" max="1" width="11.57421875" style="0" customWidth="1"/>
    <col min="2" max="7" width="8.7109375" style="0" customWidth="1"/>
    <col min="8" max="8" width="1.28515625" style="0" customWidth="1"/>
    <col min="9" max="14" width="8.7109375" style="0" hidden="1" customWidth="1"/>
    <col min="23" max="23" width="2.7109375" style="0" customWidth="1"/>
    <col min="31" max="31" width="3.00390625" style="0" customWidth="1"/>
    <col min="39" max="39" width="2.421875" style="0" customWidth="1"/>
    <col min="40" max="40" width="12.7109375" style="0" customWidth="1"/>
  </cols>
  <sheetData>
    <row r="1" spans="1:55" ht="15.75">
      <c r="A1" s="1" t="s">
        <v>0</v>
      </c>
      <c r="AW1" t="s">
        <v>26</v>
      </c>
      <c r="AX1" t="s">
        <v>27</v>
      </c>
      <c r="AY1" t="s">
        <v>5</v>
      </c>
      <c r="AZ1" t="s">
        <v>25</v>
      </c>
      <c r="BA1" t="s">
        <v>28</v>
      </c>
      <c r="BB1" t="s">
        <v>43</v>
      </c>
      <c r="BC1" t="s">
        <v>29</v>
      </c>
    </row>
    <row r="2" spans="49:55" ht="12.75">
      <c r="AW2">
        <v>1</v>
      </c>
      <c r="AX2">
        <v>2</v>
      </c>
      <c r="AY2" s="10">
        <f aca="true" t="shared" si="0" ref="AY2:AY7">B9</f>
        <v>5.94</v>
      </c>
      <c r="AZ2" s="10">
        <f aca="true" t="shared" si="1" ref="AZ2:AZ7">AO9</f>
        <v>5.120570039441628</v>
      </c>
      <c r="BA2" s="10">
        <f>AZ2-AY2</f>
        <v>-0.8194299605583728</v>
      </c>
      <c r="BB2" s="24">
        <f>BA2^2</f>
        <v>0.6714654602606964</v>
      </c>
      <c r="BC2" s="10">
        <f>BA2/20</f>
        <v>-0.04097149802791864</v>
      </c>
    </row>
    <row r="3" spans="1:55" ht="12.75">
      <c r="A3" s="2" t="s">
        <v>46</v>
      </c>
      <c r="F3" t="s">
        <v>30</v>
      </c>
      <c r="G3">
        <v>20</v>
      </c>
      <c r="O3" s="18" t="s">
        <v>22</v>
      </c>
      <c r="P3" s="20">
        <f>AVERAGE(S9:S13)*$G$3</f>
        <v>8.706662425076356</v>
      </c>
      <c r="Q3" s="8" t="s">
        <v>24</v>
      </c>
      <c r="R3">
        <f>P3/$G$3</f>
        <v>0.4353331212538178</v>
      </c>
      <c r="T3" s="19">
        <f>(P4-1)/(R3^2-R3)</f>
        <v>1.007665617927667</v>
      </c>
      <c r="U3" s="18" t="s">
        <v>20</v>
      </c>
      <c r="V3" s="19">
        <v>0</v>
      </c>
      <c r="W3" s="19"/>
      <c r="Y3" s="11"/>
      <c r="Z3" s="4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W3">
        <v>1</v>
      </c>
      <c r="AX3">
        <v>3</v>
      </c>
      <c r="AY3" s="10">
        <f t="shared" si="0"/>
        <v>0.9</v>
      </c>
      <c r="AZ3" s="10">
        <f t="shared" si="1"/>
        <v>1.8894016759358152</v>
      </c>
      <c r="BA3" s="10">
        <f aca="true" t="shared" si="2" ref="BA3:BA66">AZ3-AY3</f>
        <v>0.9894016759358152</v>
      </c>
      <c r="BB3" s="24">
        <f aca="true" t="shared" si="3" ref="BB3:BB66">BA3^2</f>
        <v>0.9789156763445999</v>
      </c>
      <c r="BC3" s="10">
        <f aca="true" t="shared" si="4" ref="BC3:BC66">BA3/20</f>
        <v>0.049470083796790756</v>
      </c>
    </row>
    <row r="4" spans="1:5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" t="s">
        <v>23</v>
      </c>
      <c r="P4" s="3">
        <f>Q8/P3</f>
        <v>0.7522974568458197</v>
      </c>
      <c r="Q4" s="12"/>
      <c r="R4" s="3"/>
      <c r="S4" s="3"/>
      <c r="T4" s="3"/>
      <c r="U4" s="17" t="s">
        <v>21</v>
      </c>
      <c r="V4" s="13">
        <f>SUM(V9:V13)</f>
        <v>49.74949922163487</v>
      </c>
      <c r="W4" s="19"/>
      <c r="Y4" s="21" t="s">
        <v>37</v>
      </c>
      <c r="Z4">
        <f>-2</f>
        <v>-2</v>
      </c>
      <c r="AA4">
        <f>-2*$G$3-4*Y8</f>
        <v>-77.14114007888325</v>
      </c>
      <c r="AB4">
        <f>-2*$G$3*Y8-4*$G$3*Y9-8*Y8*Y9</f>
        <v>-765.5575621454934</v>
      </c>
      <c r="AC4">
        <f>-2*$G$3*Y8*Y9-4*$G$3*Y8*Y10-8*$G$3*Y9*Y10-16*Y8*Y9*Y10</f>
        <v>-2504.5458195605643</v>
      </c>
      <c r="AD4">
        <f>-2*$G$3*Y8*Y9*Y10-4*$G$3*Y8*Y9*Y11-8*$G$3*Y8*Y10*Y11-16*$G$3*Y9*Y10*Y11-32*Y8*Y9*Y10*Y11</f>
        <v>-2883.28466083017</v>
      </c>
      <c r="AE4" s="19"/>
      <c r="AM4" s="19"/>
      <c r="AN4" s="3"/>
      <c r="AO4" s="3"/>
      <c r="AP4" s="3"/>
      <c r="AQ4" s="3"/>
      <c r="AR4" s="3"/>
      <c r="AS4" s="3"/>
      <c r="AT4" s="3"/>
      <c r="AW4">
        <v>1</v>
      </c>
      <c r="AX4">
        <v>4</v>
      </c>
      <c r="AY4" s="10">
        <f t="shared" si="0"/>
        <v>1.22</v>
      </c>
      <c r="AZ4" s="10">
        <f t="shared" si="1"/>
        <v>1.68841693413694</v>
      </c>
      <c r="BA4" s="10">
        <f t="shared" si="2"/>
        <v>0.46841693413693997</v>
      </c>
      <c r="BB4" s="24">
        <f t="shared" si="3"/>
        <v>0.21941442418625035</v>
      </c>
      <c r="BC4" s="10">
        <f t="shared" si="4"/>
        <v>0.023420846706847</v>
      </c>
    </row>
    <row r="5" spans="25:55" ht="12.75">
      <c r="Y5" s="21" t="s">
        <v>38</v>
      </c>
      <c r="Z5">
        <f>2*P8-$G$3-P9</f>
        <v>-10.400000000000002</v>
      </c>
      <c r="AA5">
        <f>2*P8*$G$3+4*P8*Y8-P10*Y8-2*$G$3*Y8-$G$3*Y8-4*Y8^2</f>
        <v>-105.6665435244227</v>
      </c>
      <c r="AB5">
        <f>2*P8*$G$3*Y8-2*$G$3*Y8^2+4*P8*$G$3*Y9+8*P8*Y8*Y9-P11*Y8*Y9-4*$G$3*Y8*Y9-2*$G$3*Y8*Y9-$G$3*Y8*Y9-8*Y8^2*Y9-4*$G$3*Y9^2-8*Y8*Y9^2</f>
        <v>26.093310186180474</v>
      </c>
      <c r="AC5">
        <f>2*P8*$G$3*Y8*Y9-2*$G$3*Y8^2*Y9-2*$G$3*Y8*Y9^2+4*P8*$G$3*Y8*Y10-4*$G$3*Y8^2*Y10+8*P8*$G$3*Y9*Y10+16*P8*Y8*Y9*Y10-P12*Y8*Y9*Y10-8*$G$3*Y8*Y9*Y10-4*$G$3*Y8*Y9*Y10-2*$G$3*Y8*Y9*Y10-$G$3*Y8*Y9*Y10-16*Y8^2*Y9*Y10-8*$G$3*Y9^2*Y10-16*Y8*Y9^2*Y10-4*$G$3*Y8*Y10^2-8*$G$3*Y9*Y10^2-16*Y8*Y9*Y10^2</f>
        <v>212.33906292723464</v>
      </c>
      <c r="AD5">
        <f>2*P8*$G$3*Y8*Y9*Y10-2*$G$3*Y8^2*Y9*Y10-2*$G$3*Y8*Y9^2*Y10-2*$G$3*Y8*Y9*Y10^2+4*P8*$G$3*Y8*Y9*Y11-4*$G$3*Y8^2*Y9*Y11-4*$G$3*Y8*Y9^2*Y11+8*P8*$G$3*Y8*Y10*Y11-8*$G$3*Y8^2*Y10*Y11+16*P8*$G$3*Y9*Y10*Y11+32*P8*Y8*Y9*Y10*Y11-P13*Y8*Y9*Y10*Y11-16*$G$3*Y8*Y9*Y10*Y11-8*$G$3*Y8*Y9*Y10*Y11-4*$G$3*Y8*Y9*Y10*Y11-2*$G$3*Y8*Y9*Y10*Y11-$G$3*Y8*Y9*Y10*Y11-32*Y8^2*Y9*Y10*Y11-16*$G$3*Y9^2*Y10*Y11-32*Y8*Y9^2*Y10*Y11-8*$G$3*Y8*Y10^2*Y11-16*$G$3*Y9*Y10^2*Y11-32*Y8*Y9*Y10^2*Y11-4*$G$3*Y8*Y9*Y11^2-8*$G$3*Y8*Y10*Y11^2-16*$G$3*Y9*Y10*Y11^2-32*Y8*Y9*Y10*Y11^2</f>
        <v>80.24825955231672</v>
      </c>
      <c r="AW5">
        <v>1</v>
      </c>
      <c r="AX5">
        <v>5</v>
      </c>
      <c r="AY5" s="10">
        <f t="shared" si="0"/>
        <v>1.39</v>
      </c>
      <c r="AZ5" s="10">
        <f t="shared" si="1"/>
        <v>1.3786902309693307</v>
      </c>
      <c r="BA5" s="10">
        <f t="shared" si="2"/>
        <v>-0.011309769030669159</v>
      </c>
      <c r="BB5" s="24">
        <f t="shared" si="3"/>
        <v>0.00012791087552708322</v>
      </c>
      <c r="BC5" s="10">
        <f t="shared" si="4"/>
        <v>-0.0005654884515334579</v>
      </c>
    </row>
    <row r="6" spans="1:55" ht="12.75" customHeight="1">
      <c r="A6" s="4" t="s">
        <v>1</v>
      </c>
      <c r="B6" s="5" t="s">
        <v>2</v>
      </c>
      <c r="C6" s="5"/>
      <c r="D6" s="5"/>
      <c r="E6" s="5"/>
      <c r="F6" s="5"/>
      <c r="G6" s="5"/>
      <c r="H6" s="6"/>
      <c r="I6" s="5" t="s">
        <v>3</v>
      </c>
      <c r="J6" s="5"/>
      <c r="K6" s="5"/>
      <c r="L6" s="5"/>
      <c r="M6" s="5"/>
      <c r="N6" s="5"/>
      <c r="O6" s="4" t="s">
        <v>4</v>
      </c>
      <c r="P6" s="4" t="s">
        <v>14</v>
      </c>
      <c r="Q6" s="4" t="s">
        <v>5</v>
      </c>
      <c r="R6" s="4" t="s">
        <v>40</v>
      </c>
      <c r="S6" s="4" t="s">
        <v>42</v>
      </c>
      <c r="T6" s="4" t="s">
        <v>16</v>
      </c>
      <c r="U6" s="4" t="s">
        <v>15</v>
      </c>
      <c r="V6" s="4"/>
      <c r="W6" s="4"/>
      <c r="Y6" s="21" t="s">
        <v>39</v>
      </c>
      <c r="Z6">
        <f>$G$3*P8</f>
        <v>269</v>
      </c>
      <c r="AA6">
        <f>P8*$G$3*Y8-$G$3*Y8^2</f>
        <v>773.4113123558639</v>
      </c>
      <c r="AB6">
        <f>P8*$G$3*Y8*Y9-$G$3*Y8^2*Y9-$G$3*Y8*Y9^2</f>
        <v>763.82570744746</v>
      </c>
      <c r="AC6">
        <f>P8*$G$3*Y8*Y9*Y10-$G$3*Y8^2*Y9*Y10-$G$3*Y8*Y9^2*Y10-$G$3*Y8*Y9*Y10^2</f>
        <v>286.30893914770763</v>
      </c>
      <c r="AD6">
        <f>P8*$G$3*Y8*Y9*Y10*Y11-$G$3*Y8^2*Y9*Y10*Y11-$G$3*Y8*Y9^2*Y10*Y11-$G$3*Y8*Y9*Y10^2*Y11-$G$3*Y8*Y9*Y10*Y11^2</f>
        <v>38.93427063412415</v>
      </c>
      <c r="AE6" s="4"/>
      <c r="AM6" s="4"/>
      <c r="AN6" s="4" t="s">
        <v>1</v>
      </c>
      <c r="AO6" s="5" t="s">
        <v>31</v>
      </c>
      <c r="AP6" s="5"/>
      <c r="AQ6" s="5"/>
      <c r="AR6" s="5"/>
      <c r="AS6" s="5"/>
      <c r="AT6" s="5"/>
      <c r="AW6">
        <v>1</v>
      </c>
      <c r="AX6">
        <v>6</v>
      </c>
      <c r="AY6" s="10">
        <f t="shared" si="0"/>
        <v>0.21</v>
      </c>
      <c r="AZ6" s="10">
        <f t="shared" si="1"/>
        <v>0.817502397522448</v>
      </c>
      <c r="BA6" s="10">
        <f t="shared" si="2"/>
        <v>0.6075023975224481</v>
      </c>
      <c r="BB6" s="24">
        <f t="shared" si="3"/>
        <v>0.3690591629955225</v>
      </c>
      <c r="BC6" s="10">
        <f t="shared" si="4"/>
        <v>0.030375119876122403</v>
      </c>
    </row>
    <row r="7" spans="1:55" ht="12.7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/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7"/>
      <c r="P7" s="7"/>
      <c r="Q7" s="7" t="s">
        <v>41</v>
      </c>
      <c r="R7" s="7" t="s">
        <v>41</v>
      </c>
      <c r="S7" s="7" t="s">
        <v>41</v>
      </c>
      <c r="T7" s="7"/>
      <c r="U7" s="7" t="s">
        <v>41</v>
      </c>
      <c r="V7" s="7" t="s">
        <v>19</v>
      </c>
      <c r="W7" s="15"/>
      <c r="X7" s="4" t="s">
        <v>17</v>
      </c>
      <c r="Y7" s="4">
        <v>1</v>
      </c>
      <c r="Z7" s="15">
        <v>2</v>
      </c>
      <c r="AA7" s="15">
        <v>3</v>
      </c>
      <c r="AB7" s="15">
        <v>4</v>
      </c>
      <c r="AC7" s="15">
        <v>5</v>
      </c>
      <c r="AD7" s="15">
        <v>6</v>
      </c>
      <c r="AE7" s="15"/>
      <c r="AF7" s="4" t="s">
        <v>17</v>
      </c>
      <c r="AG7" s="4">
        <v>1</v>
      </c>
      <c r="AH7" s="15">
        <v>2</v>
      </c>
      <c r="AI7" s="15">
        <v>3</v>
      </c>
      <c r="AJ7" s="15">
        <v>4</v>
      </c>
      <c r="AK7" s="15">
        <v>5</v>
      </c>
      <c r="AL7" s="15">
        <v>6</v>
      </c>
      <c r="AM7" s="15"/>
      <c r="AN7" s="7" t="s">
        <v>6</v>
      </c>
      <c r="AO7" s="7" t="s">
        <v>7</v>
      </c>
      <c r="AP7" s="7" t="s">
        <v>8</v>
      </c>
      <c r="AQ7" s="7" t="s">
        <v>9</v>
      </c>
      <c r="AR7" s="7" t="s">
        <v>10</v>
      </c>
      <c r="AS7" s="7" t="s">
        <v>11</v>
      </c>
      <c r="AT7" s="7" t="s">
        <v>12</v>
      </c>
      <c r="AW7">
        <v>1</v>
      </c>
      <c r="AX7">
        <v>7</v>
      </c>
      <c r="AY7" s="10">
        <f t="shared" si="0"/>
        <v>3.79</v>
      </c>
      <c r="AZ7" s="10">
        <f t="shared" si="1"/>
        <v>2.5554187219938376</v>
      </c>
      <c r="BA7" s="10">
        <f t="shared" si="2"/>
        <v>-1.2345812780061625</v>
      </c>
      <c r="BB7" s="24">
        <f t="shared" si="3"/>
        <v>1.5241909320033293</v>
      </c>
      <c r="BC7" s="10">
        <f t="shared" si="4"/>
        <v>-0.06172906390030812</v>
      </c>
    </row>
    <row r="8" spans="1:55" ht="12.75">
      <c r="A8" s="8" t="s">
        <v>7</v>
      </c>
      <c r="B8" s="25">
        <v>6.55</v>
      </c>
      <c r="C8" s="26"/>
      <c r="D8" s="26"/>
      <c r="E8" s="26"/>
      <c r="F8" s="26"/>
      <c r="G8" s="26"/>
      <c r="H8" s="10"/>
      <c r="I8" s="9">
        <v>0</v>
      </c>
      <c r="J8" s="10"/>
      <c r="K8" s="10"/>
      <c r="L8" s="10"/>
      <c r="M8" s="10"/>
      <c r="N8" s="10"/>
      <c r="O8" s="11">
        <f>B8</f>
        <v>6.55</v>
      </c>
      <c r="P8" s="11">
        <f>$G$3-O8</f>
        <v>13.45</v>
      </c>
      <c r="Q8" s="11">
        <f>$B8</f>
        <v>6.55</v>
      </c>
      <c r="R8" s="11">
        <f>20-Y14</f>
        <v>6.5500000000000025</v>
      </c>
      <c r="S8" s="11">
        <f aca="true" t="shared" si="5" ref="S8:S13">R8/$G$3</f>
        <v>0.3275000000000001</v>
      </c>
      <c r="T8" s="11">
        <f aca="true" t="shared" si="6" ref="T8:T13">Q8/R8</f>
        <v>0.9999999999999996</v>
      </c>
      <c r="U8" s="11">
        <f>AG14</f>
        <v>13.449999999999998</v>
      </c>
      <c r="V8" s="11"/>
      <c r="W8" s="11"/>
      <c r="X8" s="4">
        <v>2</v>
      </c>
      <c r="Y8" s="10">
        <f>(-Z5-SQRT(Z5^2-4*Z4*Z6))/(2*Z4)</f>
        <v>9.285285019720813</v>
      </c>
      <c r="Z8" s="10"/>
      <c r="AA8" s="10"/>
      <c r="AB8" s="10"/>
      <c r="AC8" s="10"/>
      <c r="AD8" s="10"/>
      <c r="AE8" s="11"/>
      <c r="AF8" s="4">
        <v>2</v>
      </c>
      <c r="AG8" s="10">
        <f aca="true" t="shared" si="7" ref="AG8:AG14">Y8</f>
        <v>9.285285019720813</v>
      </c>
      <c r="AH8" s="10"/>
      <c r="AI8" s="10"/>
      <c r="AJ8" s="10"/>
      <c r="AK8" s="10"/>
      <c r="AL8" s="10"/>
      <c r="AM8" s="11"/>
      <c r="AN8" s="8" t="s">
        <v>7</v>
      </c>
      <c r="AO8" s="9">
        <f>$G$3-AG8-AG9-AG10-AG11-AG12-AG13</f>
        <v>6.550000000000001</v>
      </c>
      <c r="AP8" s="10"/>
      <c r="AQ8" s="10"/>
      <c r="AR8" s="10"/>
      <c r="AS8" s="10"/>
      <c r="AT8" s="10"/>
      <c r="AW8">
        <v>1</v>
      </c>
      <c r="AX8">
        <v>2</v>
      </c>
      <c r="AY8" s="10">
        <f aca="true" t="shared" si="8" ref="AY8:AY13">C9</f>
        <v>10.21</v>
      </c>
      <c r="AZ8" s="10">
        <f aca="true" t="shared" si="9" ref="AZ8:AZ13">AP9</f>
        <v>11.02942996055837</v>
      </c>
      <c r="BA8" s="10">
        <f t="shared" si="2"/>
        <v>0.8194299605583684</v>
      </c>
      <c r="BB8" s="24">
        <f t="shared" si="3"/>
        <v>0.6714654602606891</v>
      </c>
      <c r="BC8" s="10">
        <f t="shared" si="4"/>
        <v>0.04097149802791842</v>
      </c>
    </row>
    <row r="9" spans="1:55" ht="12.75">
      <c r="A9" s="8" t="s">
        <v>8</v>
      </c>
      <c r="B9" s="26">
        <v>5.94</v>
      </c>
      <c r="C9" s="25">
        <v>10.21</v>
      </c>
      <c r="D9" s="26"/>
      <c r="E9" s="26"/>
      <c r="F9" s="26"/>
      <c r="G9" s="26"/>
      <c r="H9" s="10"/>
      <c r="I9" s="10">
        <v>0</v>
      </c>
      <c r="J9" s="9">
        <v>0</v>
      </c>
      <c r="K9" s="10"/>
      <c r="L9" s="10"/>
      <c r="M9" s="10"/>
      <c r="N9" s="10"/>
      <c r="O9" s="11">
        <f>SUM(B9:C9)</f>
        <v>16.150000000000002</v>
      </c>
      <c r="P9" s="11">
        <f>P8+$G$3-O9</f>
        <v>17.3</v>
      </c>
      <c r="Q9" s="11">
        <f>C9</f>
        <v>10.21</v>
      </c>
      <c r="R9" s="11">
        <f>20-Z14</f>
        <v>11.029429960558371</v>
      </c>
      <c r="S9" s="11">
        <f t="shared" si="5"/>
        <v>0.5514714980279185</v>
      </c>
      <c r="T9" s="11">
        <f t="shared" si="6"/>
        <v>0.9257051394778624</v>
      </c>
      <c r="U9" s="11">
        <f>AH14</f>
        <v>8.970570039441629</v>
      </c>
      <c r="V9" s="11">
        <f>(U9-Q9)^2</f>
        <v>1.536186627129727</v>
      </c>
      <c r="W9" s="11"/>
      <c r="X9" s="4">
        <v>3</v>
      </c>
      <c r="Y9" s="10">
        <f>(-AA5-SQRT(AA5^2-4*AA4*AA6))/(2*AA4)</f>
        <v>2.5547079091235467</v>
      </c>
      <c r="Z9" s="10">
        <f>$G$3*Y9/Y8</f>
        <v>5.5027021867345125</v>
      </c>
      <c r="AA9" s="10"/>
      <c r="AB9" s="10"/>
      <c r="AC9" s="10"/>
      <c r="AD9" s="10"/>
      <c r="AE9" s="11"/>
      <c r="AF9" s="4">
        <v>3</v>
      </c>
      <c r="AG9" s="10">
        <f t="shared" si="7"/>
        <v>2.5547079091235467</v>
      </c>
      <c r="AH9" s="10">
        <f>Z9-(Z9*(Z14-AH14)/Z14)</f>
        <v>5.5027021867345125</v>
      </c>
      <c r="AI9" s="10"/>
      <c r="AJ9" s="10"/>
      <c r="AK9" s="10"/>
      <c r="AL9" s="10"/>
      <c r="AM9" s="11"/>
      <c r="AN9" s="8" t="s">
        <v>8</v>
      </c>
      <c r="AO9" s="10">
        <f>AG8-AG9-AG10-AG11-AG12-AG13</f>
        <v>5.120570039441628</v>
      </c>
      <c r="AP9" s="9">
        <f>$G$3-AH9-AH10-AH11-AH12-AH13</f>
        <v>11.02942996055837</v>
      </c>
      <c r="AQ9" s="10"/>
      <c r="AR9" s="10"/>
      <c r="AS9" s="10"/>
      <c r="AT9" s="10"/>
      <c r="AU9" s="10">
        <f>AP9-C9</f>
        <v>0.8194299605583684</v>
      </c>
      <c r="AV9" s="10">
        <f>AU9^2</f>
        <v>0.6714654602606891</v>
      </c>
      <c r="AW9">
        <v>1</v>
      </c>
      <c r="AX9">
        <v>3</v>
      </c>
      <c r="AY9" s="10">
        <f t="shared" si="8"/>
        <v>1.92</v>
      </c>
      <c r="AZ9" s="10">
        <f t="shared" si="9"/>
        <v>2.034834334027395</v>
      </c>
      <c r="BA9" s="10">
        <f t="shared" si="2"/>
        <v>0.11483433402739518</v>
      </c>
      <c r="BB9" s="24">
        <f t="shared" si="3"/>
        <v>0.01318692427151537</v>
      </c>
      <c r="BC9" s="10">
        <f t="shared" si="4"/>
        <v>0.005741716701369759</v>
      </c>
    </row>
    <row r="10" spans="1:55" ht="12.75">
      <c r="A10" s="8" t="s">
        <v>9</v>
      </c>
      <c r="B10" s="26">
        <v>0.9</v>
      </c>
      <c r="C10" s="26">
        <v>1.92</v>
      </c>
      <c r="D10" s="25">
        <v>8.5</v>
      </c>
      <c r="E10" s="26"/>
      <c r="F10" s="26"/>
      <c r="G10" s="26"/>
      <c r="H10" s="10"/>
      <c r="I10" s="10">
        <v>0</v>
      </c>
      <c r="J10" s="10">
        <v>0</v>
      </c>
      <c r="K10" s="9">
        <v>0</v>
      </c>
      <c r="L10" s="10"/>
      <c r="M10" s="10"/>
      <c r="N10" s="10"/>
      <c r="O10" s="11">
        <f>SUM(B10:D10)</f>
        <v>11.32</v>
      </c>
      <c r="P10" s="11">
        <f>P9+$G$3-O10</f>
        <v>25.979999999999997</v>
      </c>
      <c r="Q10" s="11">
        <f>D10</f>
        <v>8.5</v>
      </c>
      <c r="R10" s="11">
        <f>20-AA14</f>
        <v>7.395763990036807</v>
      </c>
      <c r="S10" s="11">
        <f t="shared" si="5"/>
        <v>0.36978819950184033</v>
      </c>
      <c r="T10" s="11">
        <f t="shared" si="6"/>
        <v>1.1493065505403854</v>
      </c>
      <c r="U10" s="11">
        <f>AI14</f>
        <v>12.604236009963193</v>
      </c>
      <c r="V10" s="11">
        <f>(U10-Q10)^2</f>
        <v>16.84475322547859</v>
      </c>
      <c r="W10" s="11"/>
      <c r="X10" s="4">
        <v>4</v>
      </c>
      <c r="Y10" s="10">
        <f>(-AB5-SQRT(AB5^2-4*AB4*AB6))/(2*AB4)</f>
        <v>1.016055652344937</v>
      </c>
      <c r="Z10" s="10">
        <f>Z9*Y10/Y9</f>
        <v>2.1885287316155804</v>
      </c>
      <c r="AA10" s="10">
        <f>$G$3*Y10/Y9</f>
        <v>7.95437825761865</v>
      </c>
      <c r="AB10" s="10"/>
      <c r="AC10" s="10"/>
      <c r="AD10" s="10"/>
      <c r="AE10" s="11"/>
      <c r="AF10" s="4">
        <v>4</v>
      </c>
      <c r="AG10" s="10">
        <f t="shared" si="7"/>
        <v>1.016055652344937</v>
      </c>
      <c r="AH10" s="10">
        <f>Z10-(Z10*(Z14-AH14)/Z14)</f>
        <v>2.1885287316155804</v>
      </c>
      <c r="AI10" s="10">
        <f>AA10-(AA10*(AA14-AI14)/AA14)</f>
        <v>7.95437825761865</v>
      </c>
      <c r="AJ10" s="10"/>
      <c r="AK10" s="10"/>
      <c r="AL10" s="10"/>
      <c r="AM10" s="11"/>
      <c r="AN10" s="8" t="s">
        <v>9</v>
      </c>
      <c r="AO10" s="10">
        <f>2*(AG9-AG10-AG11-AG12-AG13)</f>
        <v>1.8894016759358152</v>
      </c>
      <c r="AP10" s="10">
        <f>AH9-AH10-AH11-AH12-AH13</f>
        <v>2.034834334027395</v>
      </c>
      <c r="AQ10" s="9">
        <f>$G$3-AI10-AI11-AI12-AI13</f>
        <v>7.395763990036807</v>
      </c>
      <c r="AR10" s="10"/>
      <c r="AS10" s="10"/>
      <c r="AT10" s="10"/>
      <c r="AU10" s="10">
        <f>AQ10-D10</f>
        <v>-1.1042360099631932</v>
      </c>
      <c r="AV10" s="10">
        <f>AU10^2</f>
        <v>1.2193371656994332</v>
      </c>
      <c r="AW10">
        <v>1</v>
      </c>
      <c r="AX10">
        <v>4</v>
      </c>
      <c r="AY10" s="10">
        <f t="shared" si="8"/>
        <v>1.47</v>
      </c>
      <c r="AZ10" s="10">
        <f t="shared" si="9"/>
        <v>1.8183792210480865</v>
      </c>
      <c r="BA10" s="10">
        <f t="shared" si="2"/>
        <v>0.3483792210480865</v>
      </c>
      <c r="BB10" s="24">
        <f t="shared" si="3"/>
        <v>0.12136808165807152</v>
      </c>
      <c r="BC10" s="10">
        <f t="shared" si="4"/>
        <v>0.017418961052404324</v>
      </c>
    </row>
    <row r="11" spans="1:55" ht="12.75">
      <c r="A11" s="8" t="s">
        <v>10</v>
      </c>
      <c r="B11" s="26">
        <v>1.22</v>
      </c>
      <c r="C11" s="26">
        <v>1.47</v>
      </c>
      <c r="D11" s="26">
        <v>3.5</v>
      </c>
      <c r="E11" s="25">
        <v>8.93</v>
      </c>
      <c r="F11" s="26"/>
      <c r="G11" s="26"/>
      <c r="H11" s="10"/>
      <c r="I11" s="10">
        <v>0</v>
      </c>
      <c r="J11" s="10">
        <v>0</v>
      </c>
      <c r="K11" s="10">
        <v>0</v>
      </c>
      <c r="L11" s="9">
        <v>0</v>
      </c>
      <c r="M11" s="10"/>
      <c r="N11" s="10"/>
      <c r="O11" s="11">
        <f>SUM(B11:E11)</f>
        <v>15.12</v>
      </c>
      <c r="P11" s="11">
        <f>P10+$G$3-O11</f>
        <v>30.86</v>
      </c>
      <c r="Q11" s="11">
        <f>E11</f>
        <v>8.93</v>
      </c>
      <c r="R11" s="11">
        <f>20-AB14</f>
        <v>8.308683339540861</v>
      </c>
      <c r="S11" s="11">
        <f t="shared" si="5"/>
        <v>0.41543416697704305</v>
      </c>
      <c r="T11" s="11">
        <f t="shared" si="6"/>
        <v>1.0747791960613429</v>
      </c>
      <c r="U11" s="11">
        <f>AJ14</f>
        <v>11.691316660459139</v>
      </c>
      <c r="V11" s="11">
        <f>(U11-Q11)^2</f>
        <v>7.624869699329211</v>
      </c>
      <c r="W11" s="11"/>
      <c r="X11" s="4">
        <v>5</v>
      </c>
      <c r="Y11" s="10">
        <f>(-AC5-SQRT(AC5^2-4*AC4*AC6))/(2*AC4)</f>
        <v>0.38314384884093416</v>
      </c>
      <c r="Z11" s="10">
        <f>$G$3*Y11/Y8</f>
        <v>0.8252710563589235</v>
      </c>
      <c r="AA11" s="10">
        <f>$G$3*Y11/Y9</f>
        <v>2.999511979217857</v>
      </c>
      <c r="AB11" s="10">
        <f>$G$3*Y11/Y10</f>
        <v>7.541788640350225</v>
      </c>
      <c r="AC11" s="10"/>
      <c r="AD11" s="10"/>
      <c r="AE11" s="11"/>
      <c r="AF11" s="4">
        <v>5</v>
      </c>
      <c r="AG11" s="10">
        <f t="shared" si="7"/>
        <v>0.38314384884093416</v>
      </c>
      <c r="AH11" s="10">
        <f>Z11-(Z11*(Z14-AH14)/Z14)</f>
        <v>0.8252710563589235</v>
      </c>
      <c r="AI11" s="10">
        <f>AA11-(AA11*(AA14-AI14)/AA14)</f>
        <v>2.999511979217857</v>
      </c>
      <c r="AJ11" s="10">
        <f>AB11-(AB11*(AB14-AJ14)/AB14)</f>
        <v>7.541788640350225</v>
      </c>
      <c r="AK11" s="10"/>
      <c r="AL11" s="10"/>
      <c r="AM11" s="11"/>
      <c r="AN11" s="8" t="s">
        <v>10</v>
      </c>
      <c r="AO11" s="10">
        <f>4*(AG10-AG11-AG12-AG13)</f>
        <v>1.68841693413694</v>
      </c>
      <c r="AP11" s="10">
        <f>2*(AH10-AH11-AH12-AH13)</f>
        <v>1.8183792210480865</v>
      </c>
      <c r="AQ11" s="10">
        <f>AI10-AI11-AI12-AI13</f>
        <v>3.304520505274108</v>
      </c>
      <c r="AR11" s="9">
        <f>$G$3-AJ11-AJ12-AJ13</f>
        <v>8.308683339540861</v>
      </c>
      <c r="AS11" s="10"/>
      <c r="AT11" s="10"/>
      <c r="AU11" s="10">
        <f>AR11-E11</f>
        <v>-0.6213166604591382</v>
      </c>
      <c r="AV11" s="10">
        <f>AU11^2</f>
        <v>0.3860343925640961</v>
      </c>
      <c r="AW11">
        <v>1</v>
      </c>
      <c r="AX11">
        <v>5</v>
      </c>
      <c r="AY11" s="10">
        <f t="shared" si="8"/>
        <v>1.21</v>
      </c>
      <c r="AZ11" s="10">
        <f t="shared" si="9"/>
        <v>1.4848119665052395</v>
      </c>
      <c r="BA11" s="10">
        <f t="shared" si="2"/>
        <v>0.27481196650523954</v>
      </c>
      <c r="BB11" s="24">
        <f t="shared" si="3"/>
        <v>0.0755216169344769</v>
      </c>
      <c r="BC11" s="10">
        <f t="shared" si="4"/>
        <v>0.013740598325261977</v>
      </c>
    </row>
    <row r="12" spans="1:55" ht="12.75">
      <c r="A12" s="8" t="s">
        <v>11</v>
      </c>
      <c r="B12" s="26">
        <v>1.39</v>
      </c>
      <c r="C12" s="26">
        <v>1.21</v>
      </c>
      <c r="D12" s="26">
        <v>1.63</v>
      </c>
      <c r="E12" s="26">
        <v>4.52</v>
      </c>
      <c r="F12" s="25">
        <v>9.2</v>
      </c>
      <c r="G12" s="26"/>
      <c r="H12" s="10"/>
      <c r="I12" s="10">
        <v>0.01</v>
      </c>
      <c r="J12" s="10">
        <v>0.01</v>
      </c>
      <c r="K12" s="10">
        <v>0.01</v>
      </c>
      <c r="L12" s="10">
        <v>0.02</v>
      </c>
      <c r="M12" s="9">
        <v>0.04</v>
      </c>
      <c r="N12" s="10"/>
      <c r="O12" s="11">
        <f>SUM(B12:F12)</f>
        <v>17.95</v>
      </c>
      <c r="P12" s="11">
        <f>P11+$G$3-O12</f>
        <v>32.91</v>
      </c>
      <c r="Q12" s="11">
        <f>F12</f>
        <v>9.2</v>
      </c>
      <c r="R12" s="11">
        <f>20-AC14</f>
        <v>8.99590477010181</v>
      </c>
      <c r="S12" s="11">
        <f t="shared" si="5"/>
        <v>0.44979523850509046</v>
      </c>
      <c r="T12" s="11">
        <f t="shared" si="6"/>
        <v>1.0226875711908943</v>
      </c>
      <c r="U12" s="11">
        <f>AK14</f>
        <v>11.00409522989819</v>
      </c>
      <c r="V12" s="11">
        <f>(U12-Q12)^2</f>
        <v>3.254759598541408</v>
      </c>
      <c r="W12" s="11"/>
      <c r="X12" s="4">
        <v>6</v>
      </c>
      <c r="Y12" s="10">
        <f>(-AD5-SQRT(AD5^2-4*AD4*AD6))/(2*AD4)</f>
        <v>0.13095073490746043</v>
      </c>
      <c r="Z12" s="10">
        <f>Z11*Y12/Y11</f>
        <v>0.28206077601137075</v>
      </c>
      <c r="AA12" s="10">
        <f>AA11*Y12/Y11</f>
        <v>1.0251718753427759</v>
      </c>
      <c r="AB12" s="10">
        <f>AB11*Y12/Y11</f>
        <v>2.57762918015842</v>
      </c>
      <c r="AC12" s="10">
        <f>$G$3*Y12/Y11</f>
        <v>6.835591139129883</v>
      </c>
      <c r="AD12" s="10"/>
      <c r="AE12" s="11"/>
      <c r="AF12" s="4">
        <v>6</v>
      </c>
      <c r="AG12" s="10">
        <f t="shared" si="7"/>
        <v>0.13095073490746043</v>
      </c>
      <c r="AH12" s="10">
        <f>Z12-(Z12*(Z14-AH14)/Z14)</f>
        <v>0.28206077601137075</v>
      </c>
      <c r="AI12" s="10">
        <f>AA12-(AA12*(AA14-AI14)/AA14)</f>
        <v>1.0251718753427759</v>
      </c>
      <c r="AJ12" s="10">
        <f>AB12-(AB12*(AB14-AJ14)/AB14)</f>
        <v>2.57762918015842</v>
      </c>
      <c r="AK12" s="10">
        <f>AC12-(AC12*(AC14-AK14)/AC14)</f>
        <v>6.835591139129883</v>
      </c>
      <c r="AL12" s="10"/>
      <c r="AM12" s="11"/>
      <c r="AN12" s="8" t="s">
        <v>11</v>
      </c>
      <c r="AO12" s="10">
        <f>8*(AG11-AG12-AG13)</f>
        <v>1.3786902309693307</v>
      </c>
      <c r="AP12" s="10">
        <f>4*(AH11-AH12-AH13)</f>
        <v>1.4848119665052395</v>
      </c>
      <c r="AQ12" s="10">
        <f>2*(AI11-AI12-AI13)</f>
        <v>2.698332412182344</v>
      </c>
      <c r="AR12" s="10">
        <f>AJ11-AJ12-AJ13</f>
        <v>3.392260620241312</v>
      </c>
      <c r="AS12" s="9">
        <f>$G$3-AK12-AK13</f>
        <v>8.99590477010181</v>
      </c>
      <c r="AT12" s="10"/>
      <c r="AU12" s="10">
        <f>AS12-F12</f>
        <v>-0.20409522989818996</v>
      </c>
      <c r="AV12" s="10">
        <f>AU12^2</f>
        <v>0.04165486286719501</v>
      </c>
      <c r="AW12">
        <v>1</v>
      </c>
      <c r="AX12">
        <v>6</v>
      </c>
      <c r="AY12" s="10">
        <f t="shared" si="8"/>
        <v>1.4</v>
      </c>
      <c r="AZ12" s="10">
        <f t="shared" si="9"/>
        <v>0.8804278983210236</v>
      </c>
      <c r="BA12" s="10">
        <f t="shared" si="2"/>
        <v>-0.5195721016789763</v>
      </c>
      <c r="BB12" s="24">
        <f t="shared" si="3"/>
        <v>0.26995516884310844</v>
      </c>
      <c r="BC12" s="10">
        <f t="shared" si="4"/>
        <v>-0.025978605083948815</v>
      </c>
    </row>
    <row r="13" spans="1:55" ht="12.75">
      <c r="A13" s="8" t="s">
        <v>12</v>
      </c>
      <c r="B13" s="26">
        <v>0.21</v>
      </c>
      <c r="C13" s="26">
        <v>1.4</v>
      </c>
      <c r="D13" s="26">
        <v>1.75</v>
      </c>
      <c r="E13" s="26">
        <v>1.55</v>
      </c>
      <c r="F13" s="26">
        <v>3.2</v>
      </c>
      <c r="G13" s="25">
        <v>7.67</v>
      </c>
      <c r="H13" s="9"/>
      <c r="I13" s="10">
        <v>0.01</v>
      </c>
      <c r="J13" s="10">
        <v>0.02</v>
      </c>
      <c r="K13" s="10">
        <v>0.02</v>
      </c>
      <c r="L13" s="10">
        <v>0.02</v>
      </c>
      <c r="M13" s="10">
        <v>0.05</v>
      </c>
      <c r="N13" s="9">
        <v>0.23</v>
      </c>
      <c r="O13" s="11">
        <f>SUM(B13:G13)</f>
        <v>15.78</v>
      </c>
      <c r="P13" s="11">
        <f>P12+$G$3-O13</f>
        <v>37.129999999999995</v>
      </c>
      <c r="Q13" s="11">
        <f>G13</f>
        <v>7.67</v>
      </c>
      <c r="R13" s="11">
        <f>20-AD14</f>
        <v>7.803530065143928</v>
      </c>
      <c r="S13" s="11">
        <f t="shared" si="5"/>
        <v>0.3901765032571964</v>
      </c>
      <c r="T13" s="11">
        <f t="shared" si="6"/>
        <v>0.9828885050702415</v>
      </c>
      <c r="U13" s="11">
        <f>AL14</f>
        <v>12.196469934856072</v>
      </c>
      <c r="V13" s="11">
        <f>(U13-Q13)^2</f>
        <v>20.488930071155934</v>
      </c>
      <c r="W13" s="11"/>
      <c r="X13" s="4">
        <v>7</v>
      </c>
      <c r="Y13" s="10">
        <f>P8-Y8-Y9-Y10-Y11-Y12</f>
        <v>0.07985683506230742</v>
      </c>
      <c r="Z13" s="10">
        <f>Z11*Y13/Y11</f>
        <v>0.1720072887212428</v>
      </c>
      <c r="AA13" s="10">
        <f>AA11*Y13/Y11</f>
        <v>0.6251738977839092</v>
      </c>
      <c r="AB13" s="10">
        <f>AB11*Y13/Y11</f>
        <v>1.5718988399504934</v>
      </c>
      <c r="AC13" s="10">
        <f>$G$3*Y13/Y11</f>
        <v>4.168504090768309</v>
      </c>
      <c r="AD13" s="10">
        <f>$G$3*Y13/Y12</f>
        <v>12.196469934856072</v>
      </c>
      <c r="AE13" s="11"/>
      <c r="AF13" s="4">
        <v>7</v>
      </c>
      <c r="AG13" s="10">
        <f t="shared" si="7"/>
        <v>0.07985683506230742</v>
      </c>
      <c r="AH13" s="10">
        <f>Z13-(Z13*(Z14-AH14)/Z14)</f>
        <v>0.1720072887212428</v>
      </c>
      <c r="AI13" s="10">
        <f>AA13-(AA13*(AA14-AI14)/AA14)</f>
        <v>0.6251738977839092</v>
      </c>
      <c r="AJ13" s="10">
        <f>AB13-(AB13*(AB14-AJ14)/AB14)</f>
        <v>1.5718988399504934</v>
      </c>
      <c r="AK13" s="10">
        <f>AC13-(AC13*(AC14-AK14)/AC14)</f>
        <v>4.168504090768309</v>
      </c>
      <c r="AL13" s="10">
        <f>AD13-(AD13*(AD14-AL14)/AD14)</f>
        <v>12.196469934856072</v>
      </c>
      <c r="AM13" s="11"/>
      <c r="AN13" s="8" t="s">
        <v>12</v>
      </c>
      <c r="AO13" s="10">
        <f>16*(AG12-AG13)</f>
        <v>0.817502397522448</v>
      </c>
      <c r="AP13" s="10">
        <f>8*(AH12-AH13)</f>
        <v>0.8804278983210236</v>
      </c>
      <c r="AQ13" s="10">
        <f>4*(AI12-AI13)</f>
        <v>1.5999919102354667</v>
      </c>
      <c r="AR13" s="10">
        <f>2*(AJ12-AJ13)</f>
        <v>2.0114606804158535</v>
      </c>
      <c r="AS13" s="10">
        <f>AK12-AK13</f>
        <v>2.667087048361574</v>
      </c>
      <c r="AT13" s="9">
        <f>$G$3-AL13</f>
        <v>7.803530065143928</v>
      </c>
      <c r="AU13" s="10">
        <f>AT13-G13</f>
        <v>0.13353006514392796</v>
      </c>
      <c r="AV13" s="10">
        <f>AU13^2</f>
        <v>0.017830278297341642</v>
      </c>
      <c r="AW13">
        <v>1</v>
      </c>
      <c r="AX13">
        <v>7</v>
      </c>
      <c r="AY13" s="10">
        <f t="shared" si="8"/>
        <v>3.79</v>
      </c>
      <c r="AZ13" s="10">
        <f t="shared" si="9"/>
        <v>2.7521166195398847</v>
      </c>
      <c r="BA13" s="10">
        <f t="shared" si="2"/>
        <v>-1.0378833804601153</v>
      </c>
      <c r="BB13" s="24">
        <f t="shared" si="3"/>
        <v>1.0772019114353164</v>
      </c>
      <c r="BC13" s="10">
        <f t="shared" si="4"/>
        <v>-0.05189416902300577</v>
      </c>
    </row>
    <row r="14" spans="1:55" ht="12.75">
      <c r="A14" s="12" t="s">
        <v>13</v>
      </c>
      <c r="B14" s="28">
        <v>3.79</v>
      </c>
      <c r="C14" s="28">
        <v>3.79</v>
      </c>
      <c r="D14" s="28">
        <v>4.62</v>
      </c>
      <c r="E14" s="28">
        <v>5</v>
      </c>
      <c r="F14" s="28">
        <v>7.6</v>
      </c>
      <c r="G14" s="28">
        <v>12.33</v>
      </c>
      <c r="H14" s="13"/>
      <c r="I14" s="13"/>
      <c r="J14" s="13"/>
      <c r="K14" s="13"/>
      <c r="L14" s="13"/>
      <c r="M14" s="13"/>
      <c r="N14" s="13"/>
      <c r="O14" s="14">
        <f>SUM(B14:G14)</f>
        <v>37.129999999999995</v>
      </c>
      <c r="P14" s="14"/>
      <c r="Q14" s="14"/>
      <c r="R14" s="14"/>
      <c r="S14" s="14"/>
      <c r="T14" s="14"/>
      <c r="U14" s="14"/>
      <c r="V14" s="14"/>
      <c r="W14" s="22"/>
      <c r="X14" s="16" t="s">
        <v>18</v>
      </c>
      <c r="Y14" s="10">
        <f aca="true" t="shared" si="10" ref="Y14:AD14">SUM(Y8:Y13)</f>
        <v>13.449999999999998</v>
      </c>
      <c r="Z14" s="10">
        <f t="shared" si="10"/>
        <v>8.970570039441629</v>
      </c>
      <c r="AA14" s="10">
        <f t="shared" si="10"/>
        <v>12.604236009963193</v>
      </c>
      <c r="AB14" s="10">
        <f t="shared" si="10"/>
        <v>11.691316660459139</v>
      </c>
      <c r="AC14" s="10">
        <f t="shared" si="10"/>
        <v>11.00409522989819</v>
      </c>
      <c r="AD14" s="10">
        <f t="shared" si="10"/>
        <v>12.196469934856072</v>
      </c>
      <c r="AE14" s="22"/>
      <c r="AF14" s="16" t="s">
        <v>18</v>
      </c>
      <c r="AG14" s="10">
        <f t="shared" si="7"/>
        <v>13.449999999999998</v>
      </c>
      <c r="AH14" s="10">
        <f>Z14*(V3*(Z14/$G$3)^2-V3*(Z14/$G$3)+1)</f>
        <v>8.970570039441629</v>
      </c>
      <c r="AI14" s="10">
        <f>AA14*(V3*(AA14/$G$3)^2-V3*(AA14/$G$3)+1)</f>
        <v>12.604236009963193</v>
      </c>
      <c r="AJ14" s="10">
        <f>AB14*(V3*(AB14/$G$3)^2-V3*(AB14/$G$3)+1)</f>
        <v>11.691316660459139</v>
      </c>
      <c r="AK14" s="10">
        <f>AC14*(V3*(AC14/$G$3)^2-V3*(AC14/$G$3)+1)</f>
        <v>11.00409522989819</v>
      </c>
      <c r="AL14" s="10">
        <f>AD14*(V3*(AD14/$G$3)^2-V3*(AD14/$G$3)+1)</f>
        <v>12.196469934856072</v>
      </c>
      <c r="AM14" s="22"/>
      <c r="AN14" s="12" t="s">
        <v>13</v>
      </c>
      <c r="AO14" s="13">
        <f>32*AG13</f>
        <v>2.5554187219938376</v>
      </c>
      <c r="AP14" s="13">
        <f>16*AH13</f>
        <v>2.7521166195398847</v>
      </c>
      <c r="AQ14" s="13">
        <f>8*AI13</f>
        <v>5.0013911822712735</v>
      </c>
      <c r="AR14" s="13">
        <f>4*AJ13</f>
        <v>6.287595359801974</v>
      </c>
      <c r="AS14" s="13">
        <f>2*AK13</f>
        <v>8.337008181536618</v>
      </c>
      <c r="AT14" s="13">
        <f>AL13</f>
        <v>12.196469934856072</v>
      </c>
      <c r="AW14">
        <v>1</v>
      </c>
      <c r="AX14">
        <v>3</v>
      </c>
      <c r="AY14" s="10">
        <f>D10</f>
        <v>8.5</v>
      </c>
      <c r="AZ14" s="10">
        <f>AQ10</f>
        <v>7.395763990036807</v>
      </c>
      <c r="BA14" s="10">
        <f t="shared" si="2"/>
        <v>-1.1042360099631932</v>
      </c>
      <c r="BB14" s="24">
        <f t="shared" si="3"/>
        <v>1.2193371656994332</v>
      </c>
      <c r="BC14" s="10">
        <f t="shared" si="4"/>
        <v>-0.05521180049815966</v>
      </c>
    </row>
    <row r="15" spans="24:55" ht="12.75">
      <c r="X15" s="16"/>
      <c r="Y15" s="10"/>
      <c r="Z15" s="10"/>
      <c r="AA15" s="10"/>
      <c r="AB15" s="10"/>
      <c r="AC15" s="10"/>
      <c r="AD15" s="10"/>
      <c r="AG15" s="10"/>
      <c r="AH15" s="10"/>
      <c r="AI15" s="10"/>
      <c r="AJ15" s="10"/>
      <c r="AK15" s="10"/>
      <c r="AL15" s="10"/>
      <c r="AW15">
        <v>1</v>
      </c>
      <c r="AX15">
        <v>4</v>
      </c>
      <c r="AY15" s="10">
        <f>D11</f>
        <v>3.5</v>
      </c>
      <c r="AZ15" s="10">
        <f>AQ11</f>
        <v>3.304520505274108</v>
      </c>
      <c r="BA15" s="10">
        <f t="shared" si="2"/>
        <v>-0.195479494725892</v>
      </c>
      <c r="BB15" s="24">
        <f t="shared" si="3"/>
        <v>0.038212232858290035</v>
      </c>
      <c r="BC15" s="10">
        <f t="shared" si="4"/>
        <v>-0.0097739747362946</v>
      </c>
    </row>
    <row r="16" spans="1:55" ht="12.75" customHeight="1">
      <c r="A16" s="2" t="s">
        <v>45</v>
      </c>
      <c r="F16" t="s">
        <v>30</v>
      </c>
      <c r="G16">
        <v>20</v>
      </c>
      <c r="O16" s="18" t="s">
        <v>22</v>
      </c>
      <c r="P16" s="20">
        <f>AVERAGE(S22:S26)*$G$16</f>
        <v>4.761059540809884</v>
      </c>
      <c r="Q16" s="8" t="s">
        <v>24</v>
      </c>
      <c r="R16">
        <f>P16/$G$16</f>
        <v>0.23805297704049422</v>
      </c>
      <c r="T16" s="19">
        <f>(P17-1)/(R16^2-R16)</f>
        <v>4.899447751230099</v>
      </c>
      <c r="U16" s="18" t="s">
        <v>20</v>
      </c>
      <c r="V16" s="19">
        <v>0</v>
      </c>
      <c r="X16" s="23"/>
      <c r="Y16" s="11"/>
      <c r="Z16" s="4" t="s">
        <v>32</v>
      </c>
      <c r="AA16" s="4" t="s">
        <v>33</v>
      </c>
      <c r="AB16" s="4" t="s">
        <v>34</v>
      </c>
      <c r="AC16" s="4" t="s">
        <v>35</v>
      </c>
      <c r="AD16" s="4" t="s">
        <v>36</v>
      </c>
      <c r="AW16">
        <v>1</v>
      </c>
      <c r="AX16">
        <v>5</v>
      </c>
      <c r="AY16" s="10">
        <f>D12</f>
        <v>1.63</v>
      </c>
      <c r="AZ16" s="10">
        <f>AQ12</f>
        <v>2.698332412182344</v>
      </c>
      <c r="BA16" s="10">
        <f t="shared" si="2"/>
        <v>1.068332412182344</v>
      </c>
      <c r="BB16" s="24">
        <f t="shared" si="3"/>
        <v>1.141334142919346</v>
      </c>
      <c r="BC16" s="10">
        <f t="shared" si="4"/>
        <v>0.053416620609117206</v>
      </c>
    </row>
    <row r="17" spans="1:55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" t="s">
        <v>23</v>
      </c>
      <c r="P17" s="3">
        <f>Q21/P16</f>
        <v>0.11131975885977764</v>
      </c>
      <c r="Q17" s="12"/>
      <c r="R17" s="3"/>
      <c r="S17" s="3"/>
      <c r="T17" s="3"/>
      <c r="U17" s="17" t="s">
        <v>21</v>
      </c>
      <c r="V17" s="13">
        <f>SUM(V22:V26)</f>
        <v>524.8621039022406</v>
      </c>
      <c r="W17" s="19"/>
      <c r="Y17" s="21" t="s">
        <v>37</v>
      </c>
      <c r="Z17">
        <f>-2</f>
        <v>-2</v>
      </c>
      <c r="AA17">
        <f>-2*$G$16-4*Y21</f>
        <v>-82.69095710776367</v>
      </c>
      <c r="AB17">
        <f>-2*$G$16*Y21-4*$G$16*Y22-8*Y21*Y22</f>
        <v>-1213.950926536025</v>
      </c>
      <c r="AC17">
        <f>-2*$G$16*Y21*Y22-4*$G$16*Y21*Y23-8*$G$16*Y22*Y23-16*Y21*Y22*Y23</f>
        <v>-7490.700906160019</v>
      </c>
      <c r="AD17">
        <f>-2*$G$16*Y21*Y22*Y23-4*$G$16*Y21*Y22*Y24-8*$G$16*Y21*Y23*Y24-16*$G$16*Y22*Y23*Y24-32*Y21*Y22*Y23*Y24</f>
        <v>-20725.639277115413</v>
      </c>
      <c r="AE17" s="19"/>
      <c r="AM17" s="19"/>
      <c r="AN17" s="3"/>
      <c r="AO17" s="3"/>
      <c r="AP17" s="3"/>
      <c r="AQ17" s="3"/>
      <c r="AR17" s="3"/>
      <c r="AS17" s="3"/>
      <c r="AT17" s="3"/>
      <c r="AW17">
        <v>1</v>
      </c>
      <c r="AX17">
        <v>6</v>
      </c>
      <c r="AY17" s="10">
        <f>D13</f>
        <v>1.75</v>
      </c>
      <c r="AZ17" s="10">
        <f>AQ13</f>
        <v>1.5999919102354667</v>
      </c>
      <c r="BA17" s="10">
        <f t="shared" si="2"/>
        <v>-0.15000808976453328</v>
      </c>
      <c r="BB17" s="24">
        <f t="shared" si="3"/>
        <v>0.022502426994804276</v>
      </c>
      <c r="BC17" s="10">
        <f t="shared" si="4"/>
        <v>-0.007500404488226664</v>
      </c>
    </row>
    <row r="18" spans="24:55" ht="12.75" customHeight="1">
      <c r="X18" s="4"/>
      <c r="Y18" s="21" t="s">
        <v>38</v>
      </c>
      <c r="Z18">
        <f>2*P21-$G$16-P22</f>
        <v>-15.14</v>
      </c>
      <c r="AA18">
        <f>2*P21*$G$16+4*P21*Y21-P23*Y21-2*$G$16*Y21-$G$16*Y21-4*Y21^2</f>
        <v>-1.0672739276942025</v>
      </c>
      <c r="AB18">
        <f>2*P21*$G$16*Y21-2*$G$16*Y21^2+4*P21*$G$16*Y22+8*P21*Y21*Y22-P24*Y21*Y22-4*$G$16*Y21*Y22-2*$G$16*Y21*Y22-$G$16*Y21*Y22-8*Y21^2*Y22-4*$G$16*Y22^2-8*Y21*Y22^2</f>
        <v>905.0928596513156</v>
      </c>
      <c r="AC18">
        <f>2*P21*$G$16*Y21*Y22-2*$G$16*Y21^2*Y22-2*$G$16*Y21*Y22^2+4*P21*$G$16*Y21*Y23-4*$G$16*Y21^2*Y23+8*P21*$G$16*Y22*Y23+16*P21*Y21*Y22*Y23-P25*Y21*Y22*Y23-8*$G$16*Y21*Y22*Y23-4*$G$16*Y21*Y22*Y23-2*$G$16*Y21*Y22*Y23-$G$16*Y21*Y22*Y23-16*Y21^2*Y22*Y23-8*$G$16*Y22^2*Y23-16*Y21*Y22^2*Y23-4*$G$16*Y21*Y23^2-8*$G$16*Y22*Y23^2-16*Y21*Y22*Y23^2</f>
        <v>4288.2755751824025</v>
      </c>
      <c r="AD18">
        <f>2*P21*$G$16*Y21*Y22*Y23-2*$G$16*Y21^2*Y22*Y23-2*$G$16*Y21*Y22^2*Y23-2*$G$16*Y21*Y22*Y23^2+4*P21*$G$16*Y21*Y22*Y24-4*$G$16*Y21^2*Y22*Y24-4*$G$16*Y21*Y22^2*Y24+8*P21*$G$16*Y21*Y23*Y24-8*$G$16*Y21^2*Y23*Y24+16*P21*$G$16*Y22*Y23*Y24+32*P21*Y21*Y22*Y23*Y24-P26*Y21*Y22*Y23*Y24-16*$G$16*Y21*Y22*Y23*Y24-8*$G$16*Y21*Y22*Y23*Y24-4*$G$16*Y21*Y22*Y23*Y24-2*$G$16*Y21*Y22*Y23*Y24-$G$16*Y21*Y22*Y23*Y24-32*Y21^2*Y22*Y23*Y24-16*$G$16*Y22^2*Y23*Y24-32*Y21*Y22^2*Y23*Y24-8*$G$16*Y21*Y23^2*Y24-16*$G$16*Y22*Y23^2*Y24-32*Y21*Y22*Y23^2*Y24-4*$G$16*Y21*Y22*Y24^2-8*$G$16*Y21*Y23*Y24^2-16*$G$16*Y22*Y23*Y24^2-32*Y21*Y22*Y23*Y24^2</f>
        <v>4627.405074239142</v>
      </c>
      <c r="AW18">
        <v>1</v>
      </c>
      <c r="AX18">
        <v>7</v>
      </c>
      <c r="AY18" s="10">
        <f>D14</f>
        <v>4.62</v>
      </c>
      <c r="AZ18" s="10">
        <f>AQ14</f>
        <v>5.0013911822712735</v>
      </c>
      <c r="BA18" s="10">
        <f t="shared" si="2"/>
        <v>0.38139118227127344</v>
      </c>
      <c r="BB18" s="24">
        <f t="shared" si="3"/>
        <v>0.14545923391427973</v>
      </c>
      <c r="BC18" s="10">
        <f t="shared" si="4"/>
        <v>0.019069559113563672</v>
      </c>
    </row>
    <row r="19" spans="1:55" ht="12.75" customHeight="1">
      <c r="A19" s="4" t="s">
        <v>1</v>
      </c>
      <c r="B19" s="5" t="s">
        <v>2</v>
      </c>
      <c r="C19" s="5"/>
      <c r="D19" s="5"/>
      <c r="E19" s="5"/>
      <c r="F19" s="5"/>
      <c r="G19" s="5"/>
      <c r="H19" s="6"/>
      <c r="I19" s="5" t="s">
        <v>3</v>
      </c>
      <c r="J19" s="5"/>
      <c r="K19" s="5"/>
      <c r="L19" s="5"/>
      <c r="M19" s="5"/>
      <c r="N19" s="5"/>
      <c r="O19" s="4" t="s">
        <v>4</v>
      </c>
      <c r="P19" s="4" t="s">
        <v>14</v>
      </c>
      <c r="Q19" s="4" t="s">
        <v>5</v>
      </c>
      <c r="R19" s="4" t="s">
        <v>40</v>
      </c>
      <c r="S19" s="4" t="s">
        <v>42</v>
      </c>
      <c r="T19" s="4" t="s">
        <v>16</v>
      </c>
      <c r="U19" s="4" t="s">
        <v>15</v>
      </c>
      <c r="V19" s="4"/>
      <c r="W19" s="4"/>
      <c r="X19" s="4"/>
      <c r="Y19" s="21" t="s">
        <v>39</v>
      </c>
      <c r="Z19">
        <f>$G$16*P21</f>
        <v>389.4</v>
      </c>
      <c r="AA19">
        <f>P21*$G$16*Y21-$G$16*Y21^2</f>
        <v>1877.8174009696463</v>
      </c>
      <c r="AB19">
        <f>P21*$G$16*Y21*Y22-$G$16*Y21^2*Y22-$G$16*Y21*Y22^2</f>
        <v>4102.202132319292</v>
      </c>
      <c r="AC19">
        <f>P21*$G$16*Y21*Y22*Y23-$G$16*Y21^2*Y22*Y23-$G$16*Y21*Y22^2*Y23-$G$16*Y21*Y22*Y23^2</f>
        <v>4088.096380464206</v>
      </c>
      <c r="AD19">
        <f>P21*$G$16*Y21*Y22*Y23*Y24-$G$16*Y21^2*Y22*Y23*Y24-$G$16*Y21*Y22^2*Y23*Y24-$G$16*Y21*Y22*Y23^2*Y24-$G$16*Y21*Y22*Y23*Y24^2</f>
        <v>1752.3016010392175</v>
      </c>
      <c r="AE19" s="4"/>
      <c r="AM19" s="4"/>
      <c r="AN19" s="4" t="s">
        <v>1</v>
      </c>
      <c r="AO19" s="5" t="s">
        <v>31</v>
      </c>
      <c r="AP19" s="5"/>
      <c r="AQ19" s="5"/>
      <c r="AR19" s="5"/>
      <c r="AS19" s="5"/>
      <c r="AT19" s="5"/>
      <c r="AW19">
        <v>1</v>
      </c>
      <c r="AX19">
        <v>4</v>
      </c>
      <c r="AY19" s="10">
        <f>E11</f>
        <v>8.93</v>
      </c>
      <c r="AZ19" s="10">
        <f>AR11</f>
        <v>8.308683339540861</v>
      </c>
      <c r="BA19" s="10">
        <f t="shared" si="2"/>
        <v>-0.6213166604591382</v>
      </c>
      <c r="BB19" s="24">
        <f t="shared" si="3"/>
        <v>0.3860343925640961</v>
      </c>
      <c r="BC19" s="10">
        <f t="shared" si="4"/>
        <v>-0.03106583302295691</v>
      </c>
    </row>
    <row r="20" spans="1:55" ht="12.75" customHeight="1">
      <c r="A20" s="7" t="s">
        <v>6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/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7"/>
      <c r="P20" s="7"/>
      <c r="Q20" s="7" t="s">
        <v>41</v>
      </c>
      <c r="R20" s="7" t="s">
        <v>41</v>
      </c>
      <c r="S20" s="7" t="s">
        <v>41</v>
      </c>
      <c r="T20" s="7"/>
      <c r="U20" s="7" t="s">
        <v>41</v>
      </c>
      <c r="V20" s="7" t="s">
        <v>19</v>
      </c>
      <c r="W20" s="15"/>
      <c r="X20" s="4" t="s">
        <v>17</v>
      </c>
      <c r="Y20" s="4">
        <v>1</v>
      </c>
      <c r="Z20" s="15">
        <v>2</v>
      </c>
      <c r="AA20" s="15">
        <v>3</v>
      </c>
      <c r="AB20" s="15">
        <v>4</v>
      </c>
      <c r="AC20" s="15">
        <v>5</v>
      </c>
      <c r="AD20" s="15">
        <v>6</v>
      </c>
      <c r="AE20" s="15"/>
      <c r="AF20" s="4" t="s">
        <v>17</v>
      </c>
      <c r="AG20" s="4">
        <v>1</v>
      </c>
      <c r="AH20" s="15">
        <v>2</v>
      </c>
      <c r="AI20" s="15">
        <v>3</v>
      </c>
      <c r="AJ20" s="15">
        <v>4</v>
      </c>
      <c r="AK20" s="15">
        <v>5</v>
      </c>
      <c r="AL20" s="15">
        <v>6</v>
      </c>
      <c r="AM20" s="15"/>
      <c r="AN20" s="7" t="s">
        <v>6</v>
      </c>
      <c r="AO20" s="7" t="s">
        <v>7</v>
      </c>
      <c r="AP20" s="7" t="s">
        <v>8</v>
      </c>
      <c r="AQ20" s="7" t="s">
        <v>9</v>
      </c>
      <c r="AR20" s="7" t="s">
        <v>10</v>
      </c>
      <c r="AS20" s="7" t="s">
        <v>11</v>
      </c>
      <c r="AT20" s="7" t="s">
        <v>12</v>
      </c>
      <c r="AW20">
        <v>1</v>
      </c>
      <c r="AX20">
        <v>5</v>
      </c>
      <c r="AY20" s="10">
        <f>E12</f>
        <v>4.52</v>
      </c>
      <c r="AZ20" s="10">
        <f>AR12</f>
        <v>3.392260620241312</v>
      </c>
      <c r="BA20" s="10">
        <f t="shared" si="2"/>
        <v>-1.1277393797586877</v>
      </c>
      <c r="BB20" s="24">
        <f t="shared" si="3"/>
        <v>1.2717961086585094</v>
      </c>
      <c r="BC20" s="10">
        <f t="shared" si="4"/>
        <v>-0.05638696898793438</v>
      </c>
    </row>
    <row r="21" spans="1:55" ht="12.75" customHeight="1">
      <c r="A21" s="8" t="s">
        <v>7</v>
      </c>
      <c r="B21" s="25">
        <v>0.53</v>
      </c>
      <c r="C21" s="26"/>
      <c r="D21" s="26"/>
      <c r="E21" s="26"/>
      <c r="F21" s="26"/>
      <c r="G21" s="26"/>
      <c r="H21" s="10"/>
      <c r="I21" s="9">
        <v>0</v>
      </c>
      <c r="J21" s="10"/>
      <c r="K21" s="10"/>
      <c r="L21" s="10"/>
      <c r="M21" s="10"/>
      <c r="N21" s="10"/>
      <c r="O21" s="11">
        <f>B21</f>
        <v>0.53</v>
      </c>
      <c r="P21" s="11">
        <f>$G$16-O21</f>
        <v>19.47</v>
      </c>
      <c r="Q21" s="11">
        <f>$B21</f>
        <v>0.53</v>
      </c>
      <c r="R21" s="11">
        <f>20-Y27</f>
        <v>0.5300000000000047</v>
      </c>
      <c r="S21" s="11">
        <f aca="true" t="shared" si="11" ref="S21:S26">R21/$G$16</f>
        <v>0.026500000000000235</v>
      </c>
      <c r="T21" s="11">
        <f aca="true" t="shared" si="12" ref="T21:T26">Q21/R21</f>
        <v>0.9999999999999912</v>
      </c>
      <c r="U21" s="11">
        <f>AG27</f>
        <v>19.469999999999995</v>
      </c>
      <c r="V21" s="11"/>
      <c r="W21" s="11"/>
      <c r="X21" s="4">
        <v>2</v>
      </c>
      <c r="Y21" s="10">
        <f>(-Z18-SQRT(Z18^2-4*Z17*Z19))/(2*Z17)</f>
        <v>10.672739276940915</v>
      </c>
      <c r="Z21" s="11"/>
      <c r="AA21" s="11"/>
      <c r="AB21" s="11"/>
      <c r="AC21" s="11"/>
      <c r="AD21" s="11"/>
      <c r="AE21" s="11"/>
      <c r="AF21" s="4">
        <v>2</v>
      </c>
      <c r="AG21" s="10">
        <f aca="true" t="shared" si="13" ref="AG21:AG27">Y21</f>
        <v>10.672739276940915</v>
      </c>
      <c r="AH21" s="10"/>
      <c r="AI21" s="10"/>
      <c r="AJ21" s="10"/>
      <c r="AK21" s="10"/>
      <c r="AL21" s="10"/>
      <c r="AM21" s="11"/>
      <c r="AN21" s="8" t="s">
        <v>7</v>
      </c>
      <c r="AO21" s="9">
        <f>$G$3-AG21-AG22-AG23-AG24-AG25-AG26</f>
        <v>0.5300000000000011</v>
      </c>
      <c r="AP21" s="10"/>
      <c r="AQ21" s="10"/>
      <c r="AR21" s="10"/>
      <c r="AS21" s="10"/>
      <c r="AT21" s="10"/>
      <c r="AW21">
        <v>1</v>
      </c>
      <c r="AX21">
        <v>6</v>
      </c>
      <c r="AY21" s="10">
        <f>E13</f>
        <v>1.55</v>
      </c>
      <c r="AZ21" s="10">
        <f>AR13</f>
        <v>2.0114606804158535</v>
      </c>
      <c r="BA21" s="10">
        <f t="shared" si="2"/>
        <v>0.4614606804158534</v>
      </c>
      <c r="BB21" s="24">
        <f t="shared" si="3"/>
        <v>0.2129459595698624</v>
      </c>
      <c r="BC21" s="10">
        <f t="shared" si="4"/>
        <v>0.023073034020792672</v>
      </c>
    </row>
    <row r="22" spans="1:55" ht="12.75" customHeight="1">
      <c r="A22" s="8" t="s">
        <v>8</v>
      </c>
      <c r="B22" s="26">
        <v>1.04</v>
      </c>
      <c r="C22" s="25">
        <v>4.35</v>
      </c>
      <c r="D22" s="26"/>
      <c r="E22" s="26"/>
      <c r="F22" s="26"/>
      <c r="G22" s="26"/>
      <c r="H22" s="10"/>
      <c r="I22" s="10">
        <v>0</v>
      </c>
      <c r="J22" s="9">
        <v>0</v>
      </c>
      <c r="K22" s="10"/>
      <c r="L22" s="10"/>
      <c r="M22" s="10"/>
      <c r="N22" s="10"/>
      <c r="O22" s="11">
        <f>SUM(B22:C22)</f>
        <v>5.39</v>
      </c>
      <c r="P22" s="11">
        <f>P21+$G$16-O22</f>
        <v>34.08</v>
      </c>
      <c r="Q22" s="11">
        <f>C22</f>
        <v>4.35</v>
      </c>
      <c r="R22" s="11">
        <f>20-Z27</f>
        <v>3.5145214461181737</v>
      </c>
      <c r="S22" s="11">
        <f t="shared" si="11"/>
        <v>0.1757260723059087</v>
      </c>
      <c r="T22" s="11">
        <f t="shared" si="12"/>
        <v>1.2377218539396369</v>
      </c>
      <c r="U22" s="11">
        <f>AH27</f>
        <v>16.485478553881826</v>
      </c>
      <c r="V22" s="11">
        <f>(U22-Q22)^2</f>
        <v>147.26983973172574</v>
      </c>
      <c r="W22" s="11"/>
      <c r="X22" s="4">
        <v>3</v>
      </c>
      <c r="Y22" s="10">
        <f>(-AA18-SQRT(AA18^2-4*AA17*AA19))/(2*AA17)</f>
        <v>4.75893243340205</v>
      </c>
      <c r="Z22" s="10">
        <f>$G$16*Y22/Y21</f>
        <v>8.917921275719731</v>
      </c>
      <c r="AA22" s="11"/>
      <c r="AB22" s="11"/>
      <c r="AC22" s="11"/>
      <c r="AD22" s="11"/>
      <c r="AE22" s="11"/>
      <c r="AF22" s="4">
        <v>3</v>
      </c>
      <c r="AG22" s="10">
        <f t="shared" si="13"/>
        <v>4.75893243340205</v>
      </c>
      <c r="AH22" s="10">
        <f>Z22-(Z22*(Z27-AH27)/Z27)</f>
        <v>8.917921275719731</v>
      </c>
      <c r="AI22" s="10"/>
      <c r="AJ22" s="10"/>
      <c r="AK22" s="10"/>
      <c r="AL22" s="10"/>
      <c r="AM22" s="11"/>
      <c r="AN22" s="8" t="s">
        <v>8</v>
      </c>
      <c r="AO22" s="10">
        <f>AG21-AG22-AG23-AG24-AG25-AG26</f>
        <v>1.8754785538818304</v>
      </c>
      <c r="AP22" s="9">
        <f>$G$3-AH22-AH23-AH24-AH25-AH26</f>
        <v>3.514521446118173</v>
      </c>
      <c r="AQ22" s="10"/>
      <c r="AR22" s="10"/>
      <c r="AS22" s="10"/>
      <c r="AT22" s="10"/>
      <c r="AU22" s="10">
        <f>AP22-C22</f>
        <v>-0.8354785538818268</v>
      </c>
      <c r="AV22" s="10">
        <f>AU22^2</f>
        <v>0.6980244139964685</v>
      </c>
      <c r="AW22">
        <v>1</v>
      </c>
      <c r="AX22">
        <v>7</v>
      </c>
      <c r="AY22" s="10">
        <f>E14</f>
        <v>5</v>
      </c>
      <c r="AZ22" s="10">
        <f>AR14</f>
        <v>6.287595359801974</v>
      </c>
      <c r="BA22" s="10">
        <f t="shared" si="2"/>
        <v>1.2875953598019736</v>
      </c>
      <c r="BB22" s="24">
        <f t="shared" si="3"/>
        <v>1.6579018105835739</v>
      </c>
      <c r="BC22" s="10">
        <f t="shared" si="4"/>
        <v>0.06437976799009867</v>
      </c>
    </row>
    <row r="23" spans="1:55" ht="12.75" customHeight="1">
      <c r="A23" s="8" t="s">
        <v>9</v>
      </c>
      <c r="B23" s="26">
        <v>0.85</v>
      </c>
      <c r="C23" s="26">
        <v>1.15</v>
      </c>
      <c r="D23" s="25">
        <v>3.82</v>
      </c>
      <c r="E23" s="26"/>
      <c r="F23" s="26"/>
      <c r="G23" s="26"/>
      <c r="H23" s="10"/>
      <c r="I23" s="10">
        <v>0</v>
      </c>
      <c r="J23" s="10">
        <v>0</v>
      </c>
      <c r="K23" s="9">
        <v>0</v>
      </c>
      <c r="L23" s="10"/>
      <c r="M23" s="10"/>
      <c r="N23" s="10"/>
      <c r="O23" s="11">
        <f>SUM(B23:D23)</f>
        <v>5.82</v>
      </c>
      <c r="P23" s="11">
        <f>P22+$G$16-O23</f>
        <v>48.26</v>
      </c>
      <c r="Q23" s="11">
        <f>D23</f>
        <v>3.82</v>
      </c>
      <c r="R23" s="11">
        <f>20-AA27</f>
        <v>3.0284277149523327</v>
      </c>
      <c r="S23" s="11">
        <f t="shared" si="11"/>
        <v>0.15142138574761663</v>
      </c>
      <c r="T23" s="11">
        <f t="shared" si="12"/>
        <v>1.261380610519253</v>
      </c>
      <c r="U23" s="11">
        <f>AI27</f>
        <v>16.971572285047667</v>
      </c>
      <c r="V23" s="11">
        <f>(U23-Q23)^2</f>
        <v>172.9638535688339</v>
      </c>
      <c r="W23" s="11"/>
      <c r="X23" s="4">
        <v>4</v>
      </c>
      <c r="Y23" s="10">
        <f>(-AB18-SQRT(AB18^2-4*AB17*AB19))/(2*AB17)</f>
        <v>2.2484710802133456</v>
      </c>
      <c r="Z23" s="10">
        <f>Z22*Y23/Y22</f>
        <v>4.21348450827671</v>
      </c>
      <c r="AA23" s="10">
        <f>$G$16*Y23/Y22</f>
        <v>9.449476796231654</v>
      </c>
      <c r="AB23" s="11"/>
      <c r="AC23" s="11"/>
      <c r="AD23" s="11"/>
      <c r="AE23" s="11"/>
      <c r="AF23" s="4">
        <v>4</v>
      </c>
      <c r="AG23" s="10">
        <f t="shared" si="13"/>
        <v>2.2484710802133456</v>
      </c>
      <c r="AH23" s="10">
        <f>Z23-(Z23*(Z27-AH27)/Z27)</f>
        <v>4.21348450827671</v>
      </c>
      <c r="AI23" s="10">
        <f>AA23-(AA23*(AA27-AI27)/AA27)</f>
        <v>9.449476796231654</v>
      </c>
      <c r="AJ23" s="10"/>
      <c r="AK23" s="10"/>
      <c r="AL23" s="10"/>
      <c r="AM23" s="11"/>
      <c r="AN23" s="8" t="s">
        <v>9</v>
      </c>
      <c r="AO23" s="10">
        <f>2*(AG22-AG23-AG24-AG25-AG26)</f>
        <v>1.4412082874900316</v>
      </c>
      <c r="AP23" s="10">
        <f>AH22-AH23-AH24-AH25-AH26</f>
        <v>1.350363997557635</v>
      </c>
      <c r="AQ23" s="9">
        <f>$G$3-AI23-AI24-AI25-AI26</f>
        <v>3.0284277149523335</v>
      </c>
      <c r="AR23" s="10"/>
      <c r="AS23" s="10"/>
      <c r="AT23" s="10"/>
      <c r="AU23" s="10">
        <f>AQ23-D23</f>
        <v>-0.7915722850476663</v>
      </c>
      <c r="AV23" s="10">
        <f>AU23^2</f>
        <v>0.6265866824555839</v>
      </c>
      <c r="AW23">
        <v>1</v>
      </c>
      <c r="AX23">
        <v>5</v>
      </c>
      <c r="AY23" s="10">
        <f>F12</f>
        <v>9.2</v>
      </c>
      <c r="AZ23" s="10">
        <f>AS12</f>
        <v>8.99590477010181</v>
      </c>
      <c r="BA23" s="10">
        <f t="shared" si="2"/>
        <v>-0.20409522989818996</v>
      </c>
      <c r="BB23" s="24">
        <f t="shared" si="3"/>
        <v>0.04165486286719501</v>
      </c>
      <c r="BC23" s="10">
        <f t="shared" si="4"/>
        <v>-0.010204761494909498</v>
      </c>
    </row>
    <row r="24" spans="1:55" ht="12.75" customHeight="1">
      <c r="A24" s="8" t="s">
        <v>10</v>
      </c>
      <c r="B24" s="26">
        <v>2.02</v>
      </c>
      <c r="C24" s="26">
        <v>1.26</v>
      </c>
      <c r="D24" s="26">
        <v>1.42</v>
      </c>
      <c r="E24" s="25">
        <v>4.86</v>
      </c>
      <c r="F24" s="26"/>
      <c r="G24" s="26"/>
      <c r="H24" s="10"/>
      <c r="I24" s="10">
        <v>0.07</v>
      </c>
      <c r="J24" s="10">
        <v>0.07</v>
      </c>
      <c r="K24" s="10">
        <v>0.08</v>
      </c>
      <c r="L24" s="9">
        <v>0.64</v>
      </c>
      <c r="M24" s="10"/>
      <c r="N24" s="10"/>
      <c r="O24" s="11">
        <f>SUM(B24:E24)</f>
        <v>9.56</v>
      </c>
      <c r="P24" s="11">
        <f>P23+$G$16-O24</f>
        <v>58.69999999999999</v>
      </c>
      <c r="Q24" s="11">
        <f>E24</f>
        <v>4.86</v>
      </c>
      <c r="R24" s="11">
        <f>20-AB27</f>
        <v>4.0793397327231045</v>
      </c>
      <c r="S24" s="11">
        <f t="shared" si="11"/>
        <v>0.20396698663615523</v>
      </c>
      <c r="T24" s="11">
        <f t="shared" si="12"/>
        <v>1.1913692701332765</v>
      </c>
      <c r="U24" s="11">
        <f>AJ27</f>
        <v>15.920660267276896</v>
      </c>
      <c r="V24" s="11">
        <f>(U24-Q24)^2</f>
        <v>122.33820554811778</v>
      </c>
      <c r="W24" s="11"/>
      <c r="X24" s="4">
        <v>5</v>
      </c>
      <c r="Y24" s="10">
        <f>(-AC18-SQRT(AC18^2-4*AC17*AC19))/(2*AC17)</f>
        <v>1.07850851514477</v>
      </c>
      <c r="Z24" s="10">
        <f>$G$16*Y24/Y21</f>
        <v>2.021052865921594</v>
      </c>
      <c r="AA24" s="10">
        <f>$G$16*Y24/Y22</f>
        <v>4.53256494072041</v>
      </c>
      <c r="AB24" s="10">
        <f>$G$16*Y24/Y23</f>
        <v>9.593261168762162</v>
      </c>
      <c r="AC24" s="11"/>
      <c r="AD24" s="11"/>
      <c r="AE24" s="11"/>
      <c r="AF24" s="4">
        <v>5</v>
      </c>
      <c r="AG24" s="10">
        <f t="shared" si="13"/>
        <v>1.07850851514477</v>
      </c>
      <c r="AH24" s="10">
        <f>Z24-(Z24*(Z27-AH27)/Z27)</f>
        <v>2.021052865921594</v>
      </c>
      <c r="AI24" s="10">
        <f>AA24-(AA24*(AA27-AI27)/AA27)</f>
        <v>4.53256494072041</v>
      </c>
      <c r="AJ24" s="10">
        <f>AB24-(AB24*(AB27-AJ27)/AB27)</f>
        <v>9.593261168762162</v>
      </c>
      <c r="AK24" s="10"/>
      <c r="AL24" s="10"/>
      <c r="AM24" s="11"/>
      <c r="AN24" s="8" t="s">
        <v>10</v>
      </c>
      <c r="AO24" s="10">
        <f>4*(AG23-AG24-AG25-AG26)</f>
        <v>1.834455483078628</v>
      </c>
      <c r="AP24" s="10">
        <f>2*(AH23-AH24-AH25-AH26)</f>
        <v>1.7188234767826467</v>
      </c>
      <c r="AQ24" s="10">
        <f>AI23-AI24-AI25-AI26</f>
        <v>1.927381307415641</v>
      </c>
      <c r="AR24" s="9">
        <f>$G$3-AJ24-AJ25-AJ26</f>
        <v>4.0793397327231045</v>
      </c>
      <c r="AS24" s="10"/>
      <c r="AT24" s="10"/>
      <c r="AU24" s="10">
        <f>AR24-E24</f>
        <v>-0.7806602672768959</v>
      </c>
      <c r="AV24" s="10">
        <f>AU24^2</f>
        <v>0.6094304529048344</v>
      </c>
      <c r="AW24">
        <v>1</v>
      </c>
      <c r="AX24">
        <v>6</v>
      </c>
      <c r="AY24" s="10">
        <f>F13</f>
        <v>3.2</v>
      </c>
      <c r="AZ24" s="10">
        <f>AS13</f>
        <v>2.667087048361574</v>
      </c>
      <c r="BA24" s="10">
        <f t="shared" si="2"/>
        <v>-0.5329129516384263</v>
      </c>
      <c r="BB24" s="24">
        <f t="shared" si="3"/>
        <v>0.28399621402397973</v>
      </c>
      <c r="BC24" s="10">
        <f t="shared" si="4"/>
        <v>-0.026645647581921318</v>
      </c>
    </row>
    <row r="25" spans="1:55" ht="12.75" customHeight="1">
      <c r="A25" s="8" t="s">
        <v>11</v>
      </c>
      <c r="B25" s="26">
        <v>4.5</v>
      </c>
      <c r="C25" s="26">
        <v>2.16</v>
      </c>
      <c r="D25" s="26">
        <v>1.55</v>
      </c>
      <c r="E25" s="26">
        <v>2.92</v>
      </c>
      <c r="F25" s="25">
        <v>7.72</v>
      </c>
      <c r="G25" s="26"/>
      <c r="H25" s="10"/>
      <c r="I25" s="10">
        <v>0.32</v>
      </c>
      <c r="J25" s="10">
        <v>0.5</v>
      </c>
      <c r="K25" s="10">
        <v>0.42</v>
      </c>
      <c r="L25" s="10">
        <v>0.58</v>
      </c>
      <c r="M25" s="9">
        <v>4.99</v>
      </c>
      <c r="N25" s="10"/>
      <c r="O25" s="11">
        <f>SUM(B25:F25)</f>
        <v>18.85</v>
      </c>
      <c r="P25" s="11">
        <f>P24+$G$16-O25</f>
        <v>59.84999999999999</v>
      </c>
      <c r="Q25" s="11">
        <f>F25</f>
        <v>7.72</v>
      </c>
      <c r="R25" s="11">
        <f>20-AC27</f>
        <v>6.808658729904728</v>
      </c>
      <c r="S25" s="11">
        <f t="shared" si="11"/>
        <v>0.3404329364952364</v>
      </c>
      <c r="T25" s="11">
        <f t="shared" si="12"/>
        <v>1.1338503376726041</v>
      </c>
      <c r="U25" s="11">
        <f>AK27</f>
        <v>13.191341270095272</v>
      </c>
      <c r="V25" s="11">
        <f>(U25-Q25)^2</f>
        <v>29.935575293847744</v>
      </c>
      <c r="W25" s="11"/>
      <c r="X25" s="4">
        <v>6</v>
      </c>
      <c r="Y25" s="10">
        <f>(-AD18-SQRT(AD18^2-4*AD17*AD19))/(2*AD17)</f>
        <v>0.4230988522147475</v>
      </c>
      <c r="Z25" s="11">
        <f>Z24*Y25/Y24</f>
        <v>0.7928589675733532</v>
      </c>
      <c r="AA25" s="11">
        <f>AA24*Y25/Y24</f>
        <v>1.7781250653827165</v>
      </c>
      <c r="AB25" s="11">
        <f>AB24*Y25/Y24</f>
        <v>3.7634360160380793</v>
      </c>
      <c r="AC25" s="11">
        <f>$G$16*Y25/Y24</f>
        <v>7.845999290194835</v>
      </c>
      <c r="AD25" s="11"/>
      <c r="AE25" s="11"/>
      <c r="AF25" s="4">
        <v>6</v>
      </c>
      <c r="AG25" s="10">
        <f t="shared" si="13"/>
        <v>0.4230988522147475</v>
      </c>
      <c r="AH25" s="10">
        <f>Z25-(Z25*(Z27-AH27)/Z27)</f>
        <v>0.7928589675733532</v>
      </c>
      <c r="AI25" s="10">
        <f>AA25-(AA25*(AA27-AI27)/AA27)</f>
        <v>1.7781250653827165</v>
      </c>
      <c r="AJ25" s="10">
        <f>AB25-(AB25*(AB27-AJ27)/AB27)</f>
        <v>3.7634360160380793</v>
      </c>
      <c r="AK25" s="10">
        <f>AC25-(AC25*(AC27-AK27)/AC27)</f>
        <v>7.845999290194835</v>
      </c>
      <c r="AL25" s="10"/>
      <c r="AM25" s="11"/>
      <c r="AN25" s="8" t="s">
        <v>11</v>
      </c>
      <c r="AO25" s="10">
        <f>8*(AG24-AG25-AG26)</f>
        <v>2.9372785667668104</v>
      </c>
      <c r="AP25" s="10">
        <f>4*(AH24-AH25-AH26)</f>
        <v>2.7521318478312065</v>
      </c>
      <c r="AQ25" s="10">
        <f>2*(AI24-AI25-AI26)</f>
        <v>3.086068785249614</v>
      </c>
      <c r="AR25" s="10">
        <f>AJ24-AJ25-AJ26</f>
        <v>3.2658620702474273</v>
      </c>
      <c r="AS25" s="9">
        <f>$G$3-AK25-AK26</f>
        <v>6.808658729904728</v>
      </c>
      <c r="AT25" s="10"/>
      <c r="AU25" s="10">
        <f>AS25-F25</f>
        <v>-0.9113412700952717</v>
      </c>
      <c r="AV25" s="10">
        <f>AU25^2</f>
        <v>0.8305429105788629</v>
      </c>
      <c r="AW25">
        <v>1</v>
      </c>
      <c r="AX25">
        <v>7</v>
      </c>
      <c r="AY25" s="10">
        <f>F14</f>
        <v>7.6</v>
      </c>
      <c r="AZ25" s="10">
        <f>AS14</f>
        <v>8.337008181536618</v>
      </c>
      <c r="BA25" s="10">
        <f t="shared" si="2"/>
        <v>0.7370081815366181</v>
      </c>
      <c r="BB25" s="24">
        <f t="shared" si="3"/>
        <v>0.5431810596519125</v>
      </c>
      <c r="BC25" s="10">
        <f t="shared" si="4"/>
        <v>0.0368504090768309</v>
      </c>
    </row>
    <row r="26" spans="1:55" ht="12.75" customHeight="1">
      <c r="A26" s="8" t="s">
        <v>12</v>
      </c>
      <c r="B26" s="26">
        <v>0.31</v>
      </c>
      <c r="C26" s="26">
        <v>2.95</v>
      </c>
      <c r="D26" s="26">
        <v>3.33</v>
      </c>
      <c r="E26" s="26">
        <v>2.25</v>
      </c>
      <c r="F26" s="26">
        <v>2.49</v>
      </c>
      <c r="G26" s="25">
        <v>6.39</v>
      </c>
      <c r="H26" s="9"/>
      <c r="I26" s="10">
        <v>0.32</v>
      </c>
      <c r="J26" s="10">
        <v>0.53</v>
      </c>
      <c r="K26" s="10">
        <v>0.54</v>
      </c>
      <c r="L26" s="10">
        <v>0.34</v>
      </c>
      <c r="M26" s="10">
        <v>0.76</v>
      </c>
      <c r="N26" s="9">
        <v>6.05</v>
      </c>
      <c r="O26" s="11">
        <f>SUM(B26:G26)</f>
        <v>17.72</v>
      </c>
      <c r="P26" s="11">
        <f>P25+$G$16-O26</f>
        <v>62.129999999999995</v>
      </c>
      <c r="Q26" s="11">
        <f>G26</f>
        <v>6.39</v>
      </c>
      <c r="R26" s="11">
        <f>20-AD27</f>
        <v>6.374350080351084</v>
      </c>
      <c r="S26" s="11">
        <f t="shared" si="11"/>
        <v>0.31871750401755417</v>
      </c>
      <c r="T26" s="11">
        <f t="shared" si="12"/>
        <v>1.0024551396537127</v>
      </c>
      <c r="U26" s="11">
        <f>AL27</f>
        <v>13.625649919648916</v>
      </c>
      <c r="V26" s="11">
        <f>(U26-Q26)^2</f>
        <v>52.35462975971537</v>
      </c>
      <c r="W26" s="11"/>
      <c r="X26" s="4">
        <v>7</v>
      </c>
      <c r="Y26" s="10">
        <f>P21-Y21-Y22-Y23-Y24-Y25</f>
        <v>0.28824984208417115</v>
      </c>
      <c r="Z26" s="22">
        <f>Z24*Y26/Y24</f>
        <v>0.5401609363904392</v>
      </c>
      <c r="AA26" s="22">
        <f>AA24*Y26/Y24</f>
        <v>1.2114054827128866</v>
      </c>
      <c r="AB26" s="22">
        <f>AB24*Y26/Y24</f>
        <v>2.5639630824766546</v>
      </c>
      <c r="AC26" s="22">
        <f>$G$16*Y26/Y24</f>
        <v>5.345341979900436</v>
      </c>
      <c r="AD26" s="22">
        <f>$G$16*Y26/Y25</f>
        <v>13.625649919648916</v>
      </c>
      <c r="AE26" s="11"/>
      <c r="AF26" s="4">
        <v>7</v>
      </c>
      <c r="AG26" s="10">
        <f t="shared" si="13"/>
        <v>0.28824984208417115</v>
      </c>
      <c r="AH26" s="10">
        <f>Z26-(Z26*(Z27-AH27)/Z27)</f>
        <v>0.5401609363904392</v>
      </c>
      <c r="AI26" s="10">
        <f>AA26-(AA26*(AA27-AI27)/AA27)</f>
        <v>1.2114054827128866</v>
      </c>
      <c r="AJ26" s="10">
        <f>AB26-(AB26*(AB27-AJ27)/AB27)</f>
        <v>2.5639630824766546</v>
      </c>
      <c r="AK26" s="10">
        <f>AC26-(AC26*(AC27-AK27)/AC27)</f>
        <v>5.345341979900436</v>
      </c>
      <c r="AL26" s="10">
        <f>AD26-(AD26*(AD27-AL27)/AD27)</f>
        <v>13.625649919648916</v>
      </c>
      <c r="AM26" s="11"/>
      <c r="AN26" s="8" t="s">
        <v>12</v>
      </c>
      <c r="AO26" s="10">
        <f>16*(AG25-AG26)</f>
        <v>2.157584162089222</v>
      </c>
      <c r="AP26" s="10">
        <f>8*(AH25-AH26)</f>
        <v>2.021584249463312</v>
      </c>
      <c r="AQ26" s="10">
        <f>4*(AI25-AI26)</f>
        <v>2.2668783306793197</v>
      </c>
      <c r="AR26" s="10">
        <f>2*(AJ25-AJ26)</f>
        <v>2.3989458671228494</v>
      </c>
      <c r="AS26" s="10">
        <f>AK25-AK26</f>
        <v>2.5006573102943994</v>
      </c>
      <c r="AT26" s="9">
        <f>$G$3-AL26</f>
        <v>6.374350080351084</v>
      </c>
      <c r="AU26" s="10">
        <f>AT26-G26</f>
        <v>-0.015649919648915933</v>
      </c>
      <c r="AV26" s="10">
        <f>AU26^2</f>
        <v>0.00024491998501752503</v>
      </c>
      <c r="AW26">
        <v>1</v>
      </c>
      <c r="AX26">
        <v>6</v>
      </c>
      <c r="AY26" s="10">
        <f>G13</f>
        <v>7.67</v>
      </c>
      <c r="AZ26" s="10">
        <f>AT13</f>
        <v>7.803530065143928</v>
      </c>
      <c r="BA26" s="10">
        <f t="shared" si="2"/>
        <v>0.13353006514392796</v>
      </c>
      <c r="BB26" s="24">
        <f t="shared" si="3"/>
        <v>0.017830278297341642</v>
      </c>
      <c r="BC26" s="10">
        <f t="shared" si="4"/>
        <v>0.006676503257196398</v>
      </c>
    </row>
    <row r="27" spans="1:55" ht="12.75" customHeight="1">
      <c r="A27" s="12" t="s">
        <v>13</v>
      </c>
      <c r="B27" s="28">
        <v>10.75</v>
      </c>
      <c r="C27" s="28">
        <v>8.13</v>
      </c>
      <c r="D27" s="28">
        <v>9.88</v>
      </c>
      <c r="E27" s="28">
        <v>9.97</v>
      </c>
      <c r="F27" s="28">
        <v>9.79</v>
      </c>
      <c r="G27" s="28">
        <v>13.61</v>
      </c>
      <c r="H27" s="13"/>
      <c r="I27" s="13"/>
      <c r="J27" s="13"/>
      <c r="K27" s="13"/>
      <c r="L27" s="13"/>
      <c r="M27" s="13"/>
      <c r="N27" s="13"/>
      <c r="O27" s="14">
        <f>SUM(B27:G27)</f>
        <v>62.13</v>
      </c>
      <c r="P27" s="14"/>
      <c r="Q27" s="14"/>
      <c r="R27" s="14"/>
      <c r="S27" s="14"/>
      <c r="T27" s="14"/>
      <c r="U27" s="14"/>
      <c r="V27" s="14"/>
      <c r="W27" s="22"/>
      <c r="X27" s="16" t="s">
        <v>18</v>
      </c>
      <c r="Y27" s="10">
        <f aca="true" t="shared" si="14" ref="Y27:AD27">SUM(Y21:Y26)</f>
        <v>19.469999999999995</v>
      </c>
      <c r="Z27" s="10">
        <f t="shared" si="14"/>
        <v>16.485478553881826</v>
      </c>
      <c r="AA27" s="10">
        <f t="shared" si="14"/>
        <v>16.971572285047667</v>
      </c>
      <c r="AB27" s="10">
        <f t="shared" si="14"/>
        <v>15.920660267276896</v>
      </c>
      <c r="AC27" s="10">
        <f t="shared" si="14"/>
        <v>13.191341270095272</v>
      </c>
      <c r="AD27" s="10">
        <f t="shared" si="14"/>
        <v>13.625649919648916</v>
      </c>
      <c r="AE27" s="22"/>
      <c r="AF27" s="16" t="s">
        <v>18</v>
      </c>
      <c r="AG27" s="10">
        <f t="shared" si="13"/>
        <v>19.469999999999995</v>
      </c>
      <c r="AH27" s="10">
        <f>Z27*(V16*(Z27/$G$16)^2-V16*(Z27/$G$16)+1)</f>
        <v>16.485478553881826</v>
      </c>
      <c r="AI27" s="10">
        <f>AA27*(V16*(AA27/$G$16)^2-V16*(AA27/$G$16)+1)</f>
        <v>16.971572285047667</v>
      </c>
      <c r="AJ27" s="10">
        <f>AB27*(V16*(AB27/$G$16)^2-V16*(AB27/$G$16)+1)</f>
        <v>15.920660267276896</v>
      </c>
      <c r="AK27" s="10">
        <f>AC27*(V16*(AC27/$G$16)^2-V16*(AC27/$G$16)+1)</f>
        <v>13.191341270095272</v>
      </c>
      <c r="AL27" s="10">
        <f>AD27*(V16*(AD27/$G$16)^2-V16*(AD27/$G$16)+1)</f>
        <v>13.625649919648916</v>
      </c>
      <c r="AM27" s="22"/>
      <c r="AN27" s="12" t="s">
        <v>13</v>
      </c>
      <c r="AO27" s="13">
        <f>32*AG26</f>
        <v>9.223994946693477</v>
      </c>
      <c r="AP27" s="13">
        <f>16*AH26</f>
        <v>8.642574982247027</v>
      </c>
      <c r="AQ27" s="13">
        <f>8*AI26</f>
        <v>9.691243861703093</v>
      </c>
      <c r="AR27" s="13">
        <f>4*AJ26</f>
        <v>10.255852329906618</v>
      </c>
      <c r="AS27" s="13">
        <f>2*AK26</f>
        <v>10.690683959800872</v>
      </c>
      <c r="AT27" s="13">
        <f>AL26</f>
        <v>13.625649919648916</v>
      </c>
      <c r="AW27">
        <v>1</v>
      </c>
      <c r="AX27">
        <v>7</v>
      </c>
      <c r="AY27" s="10">
        <f>G14</f>
        <v>12.33</v>
      </c>
      <c r="AZ27" s="10">
        <f>AT14</f>
        <v>12.196469934856072</v>
      </c>
      <c r="BA27" s="10">
        <f t="shared" si="2"/>
        <v>-0.13353006514392796</v>
      </c>
      <c r="BB27" s="24">
        <f t="shared" si="3"/>
        <v>0.017830278297341642</v>
      </c>
      <c r="BC27" s="10">
        <f t="shared" si="4"/>
        <v>-0.006676503257196398</v>
      </c>
    </row>
    <row r="28" spans="24:55" ht="12.75" customHeight="1">
      <c r="X28" s="16"/>
      <c r="AW28">
        <v>2</v>
      </c>
      <c r="AX28">
        <v>2</v>
      </c>
      <c r="AY28" s="10">
        <f aca="true" t="shared" si="15" ref="AY28:AY33">B22</f>
        <v>1.04</v>
      </c>
      <c r="AZ28" s="10">
        <f aca="true" t="shared" si="16" ref="AZ28:AZ33">AO22</f>
        <v>1.8754785538818304</v>
      </c>
      <c r="BA28" s="10">
        <f t="shared" si="2"/>
        <v>0.8354785538818303</v>
      </c>
      <c r="BB28" s="24">
        <f t="shared" si="3"/>
        <v>0.6980244139964745</v>
      </c>
      <c r="BC28" s="10">
        <f t="shared" si="4"/>
        <v>0.041773927694091516</v>
      </c>
    </row>
    <row r="29" spans="1:55" ht="12.75" customHeight="1">
      <c r="A29" s="2" t="s">
        <v>44</v>
      </c>
      <c r="F29" t="s">
        <v>30</v>
      </c>
      <c r="G29">
        <v>20</v>
      </c>
      <c r="O29" s="18" t="s">
        <v>22</v>
      </c>
      <c r="P29" s="20">
        <f>AVERAGE(S35:S39)*$G$29</f>
        <v>8.421769881763565</v>
      </c>
      <c r="Q29" s="8" t="s">
        <v>24</v>
      </c>
      <c r="R29">
        <f>P29/$G$29</f>
        <v>0.4210884940881782</v>
      </c>
      <c r="T29" s="19">
        <f>(P30-1)/(R29^2-R29)</f>
        <v>1.1163029721773206</v>
      </c>
      <c r="U29" s="18" t="s">
        <v>20</v>
      </c>
      <c r="V29" s="19">
        <v>0</v>
      </c>
      <c r="X29" s="23"/>
      <c r="Y29" s="11"/>
      <c r="Z29" s="4" t="s">
        <v>32</v>
      </c>
      <c r="AA29" s="4" t="s">
        <v>33</v>
      </c>
      <c r="AB29" s="4" t="s">
        <v>34</v>
      </c>
      <c r="AC29" s="4" t="s">
        <v>35</v>
      </c>
      <c r="AD29" s="4" t="s">
        <v>36</v>
      </c>
      <c r="AW29">
        <v>2</v>
      </c>
      <c r="AX29">
        <v>3</v>
      </c>
      <c r="AY29" s="10">
        <f t="shared" si="15"/>
        <v>0.85</v>
      </c>
      <c r="AZ29" s="10">
        <f t="shared" si="16"/>
        <v>1.4412082874900316</v>
      </c>
      <c r="BA29" s="10">
        <f t="shared" si="2"/>
        <v>0.5912082874900316</v>
      </c>
      <c r="BB29" s="24">
        <f t="shared" si="3"/>
        <v>0.3495272391968959</v>
      </c>
      <c r="BC29" s="10">
        <f t="shared" si="4"/>
        <v>0.029560414374501583</v>
      </c>
    </row>
    <row r="30" spans="1:5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" t="s">
        <v>23</v>
      </c>
      <c r="P30" s="3">
        <f>Q34/P29</f>
        <v>0.7278755043252672</v>
      </c>
      <c r="Q30" s="12"/>
      <c r="R30" s="3"/>
      <c r="S30" s="3"/>
      <c r="T30" s="3"/>
      <c r="U30" s="17" t="s">
        <v>21</v>
      </c>
      <c r="V30" s="13">
        <f>SUM(V35:V39)</f>
        <v>260.35082394718376</v>
      </c>
      <c r="W30" s="19"/>
      <c r="Y30" s="21" t="s">
        <v>37</v>
      </c>
      <c r="Z30">
        <f>-2</f>
        <v>-2</v>
      </c>
      <c r="AA30">
        <f>-2*$G$29-4*Y34</f>
        <v>-74.83183373896287</v>
      </c>
      <c r="AB30">
        <f>-2*$G$29*Y34-4*$G$29*Y35-8*Y34*Y35</f>
        <v>-769.3762736816631</v>
      </c>
      <c r="AC30">
        <f>-2*$G$29*Y34*Y35-4*$G$29*Y34*Y36-8*$G$29*Y35*Y36-16*Y34*Y35*Y36</f>
        <v>-3262.244881532344</v>
      </c>
      <c r="AD30">
        <f>-2*$G$29*Y34*Y35*Y36-4*$G$29*Y34*Y35*Y37-8*$G$29*Y34*Y36*Y37-16*$G$29*Y35*Y36*Y37-32*Y34*Y35*Y36*Y37</f>
        <v>-5422.467316040477</v>
      </c>
      <c r="AE30" s="19"/>
      <c r="AM30" s="19"/>
      <c r="AN30" s="3"/>
      <c r="AO30" s="3"/>
      <c r="AP30" s="3"/>
      <c r="AQ30" s="3"/>
      <c r="AR30" s="3"/>
      <c r="AS30" s="3"/>
      <c r="AT30" s="3"/>
      <c r="AW30">
        <v>2</v>
      </c>
      <c r="AX30">
        <v>4</v>
      </c>
      <c r="AY30" s="10">
        <f t="shared" si="15"/>
        <v>2.02</v>
      </c>
      <c r="AZ30" s="10">
        <f t="shared" si="16"/>
        <v>1.834455483078628</v>
      </c>
      <c r="BA30" s="10">
        <f t="shared" si="2"/>
        <v>-0.18554451692137208</v>
      </c>
      <c r="BB30" s="24">
        <f t="shared" si="3"/>
        <v>0.03442676775958533</v>
      </c>
      <c r="BC30" s="10">
        <f t="shared" si="4"/>
        <v>-0.009277225846068604</v>
      </c>
    </row>
    <row r="31" spans="24:55" ht="12.75" customHeight="1">
      <c r="X31" s="4"/>
      <c r="Y31" s="21" t="s">
        <v>38</v>
      </c>
      <c r="Z31">
        <f>2*P34-$G$29-P35</f>
        <v>-14.440000000000005</v>
      </c>
      <c r="AA31">
        <f>2*P34*$G$29+4*P34*Y34-P36*Y34-2*$G$29*Y34-$G$29*Y34-4*Y34^2</f>
        <v>-109.02363960295384</v>
      </c>
      <c r="AB31">
        <f>2*P34*$G$29*Y34-2*$G$29*Y34^2+4*P34*$G$29*Y35+8*P34*Y34*Y35-P37*Y34*Y35-4*$G$29*Y34*Y35-2*$G$29*Y34*Y35-$G$29*Y34*Y35-8*Y34^2*Y35-4*$G$29*Y35^2-8*Y34*Y35^2</f>
        <v>365.2745926133874</v>
      </c>
      <c r="AC31">
        <f>2*P34*$G$29*Y34*Y35-2*$G$29*Y34^2*Y35-2*$G$29*Y34*Y35^2+4*P34*$G$29*Y34*Y36-4*$G$29*Y34^2*Y36+8*P34*$G$29*Y35*Y36+16*P34*Y34*Y35*Y36-P38*Y34*Y35*Y36-8*$G$29*Y34*Y35*Y36-4*$G$29*Y34*Y35*Y36-2*$G$29*Y34*Y35*Y36-$G$29*Y34*Y35*Y36-16*Y34^2*Y35*Y36-8*$G$29*Y35^2*Y36-16*Y34*Y35^2*Y36-4*$G$29*Y34*Y36^2-8*$G$29*Y35*Y36^2-16*Y34*Y35*Y36^2</f>
        <v>950.5685386066143</v>
      </c>
      <c r="AD31">
        <f>2*P34*$G$29*Y34*Y35*Y36-2*$G$29*Y34^2*Y35*Y36-2*$G$29*Y34*Y35^2*Y36-2*$G$29*Y34*Y35*Y36^2+4*P34*$G$29*Y34*Y35*Y37-4*$G$29*Y34^2*Y35*Y37-4*$G$29*Y34*Y35^2*Y37+8*P34*$G$29*Y34*Y36*Y37-8*$G$29*Y34^2*Y36*Y37+16*P34*$G$29*Y35*Y36*Y37+32*P34*Y34*Y35*Y36*Y37-P39*Y34*Y35*Y36*Y37-16*$G$29*Y34*Y35*Y36*Y37-8*$G$29*Y34*Y35*Y36*Y37-4*$G$29*Y34*Y35*Y36*Y37-2*$G$29*Y34*Y35*Y36*Y37-$G$29*Y34*Y35*Y36*Y37-32*Y34^2*Y35*Y36*Y37-16*$G$29*Y35^2*Y36*Y37-32*Y34*Y35^2*Y36*Y37-8*$G$29*Y34*Y36^2*Y37-16*$G$29*Y35*Y36^2*Y37-32*Y34*Y35*Y36^2*Y37-4*$G$29*Y34*Y35*Y37^2-8*$G$29*Y34*Y36*Y37^2-16*$G$29*Y35*Y36*Y37^2-32*Y34*Y35*Y36*Y37^2</f>
        <v>308.7994332303553</v>
      </c>
      <c r="AW31">
        <v>2</v>
      </c>
      <c r="AX31">
        <v>5</v>
      </c>
      <c r="AY31" s="10">
        <f t="shared" si="15"/>
        <v>4.5</v>
      </c>
      <c r="AZ31" s="10">
        <f t="shared" si="16"/>
        <v>2.9372785667668104</v>
      </c>
      <c r="BA31" s="10">
        <f t="shared" si="2"/>
        <v>-1.5627214332331896</v>
      </c>
      <c r="BB31" s="24">
        <f t="shared" si="3"/>
        <v>2.442098277886394</v>
      </c>
      <c r="BC31" s="10">
        <f t="shared" si="4"/>
        <v>-0.07813607166165948</v>
      </c>
    </row>
    <row r="32" spans="1:55" ht="12.75" customHeight="1">
      <c r="A32" s="4" t="s">
        <v>1</v>
      </c>
      <c r="B32" s="5" t="s">
        <v>2</v>
      </c>
      <c r="C32" s="5"/>
      <c r="D32" s="5"/>
      <c r="E32" s="5"/>
      <c r="F32" s="5"/>
      <c r="G32" s="5"/>
      <c r="H32" s="6"/>
      <c r="I32" s="5" t="s">
        <v>3</v>
      </c>
      <c r="J32" s="5"/>
      <c r="K32" s="5"/>
      <c r="L32" s="5"/>
      <c r="M32" s="5"/>
      <c r="N32" s="5"/>
      <c r="O32" s="4" t="s">
        <v>4</v>
      </c>
      <c r="P32" s="4" t="s">
        <v>14</v>
      </c>
      <c r="Q32" s="4" t="s">
        <v>5</v>
      </c>
      <c r="R32" s="4" t="s">
        <v>40</v>
      </c>
      <c r="S32" s="4" t="s">
        <v>42</v>
      </c>
      <c r="T32" s="4" t="s">
        <v>16</v>
      </c>
      <c r="U32" s="4" t="s">
        <v>15</v>
      </c>
      <c r="V32" s="4"/>
      <c r="W32" s="4"/>
      <c r="Y32" s="21" t="s">
        <v>39</v>
      </c>
      <c r="Z32">
        <f>$G$29*P34</f>
        <v>277.40000000000003</v>
      </c>
      <c r="AA32">
        <f>P34*$G$29*Y34-$G$29*Y34^2</f>
        <v>899.0168677736351</v>
      </c>
      <c r="AB32">
        <f>P34*$G$29*Y34*Y35-$G$29*Y34^2*Y35-$G$29*Y34*Y35^2</f>
        <v>1150.789147660484</v>
      </c>
      <c r="AC32">
        <f>P34*$G$29*Y34*Y35*Y36-$G$29*Y34^2*Y35*Y36-$G$29*Y34*Y35^2*Y36-$G$29*Y34*Y35*Y36^2</f>
        <v>628.9640878080345</v>
      </c>
      <c r="AD32">
        <f>P34*$G$29*Y34*Y35*Y36*Y37-$G$29*Y34^2*Y35*Y36*Y37-$G$29*Y34*Y35^2*Y36*Y37-$G$29*Y34*Y35*Y36^2*Y37-$G$29*Y34*Y35*Y36*Y37^2</f>
        <v>113.68022231510247</v>
      </c>
      <c r="AE32" s="4"/>
      <c r="AM32" s="4"/>
      <c r="AN32" s="4" t="s">
        <v>1</v>
      </c>
      <c r="AO32" s="5" t="s">
        <v>31</v>
      </c>
      <c r="AP32" s="5"/>
      <c r="AQ32" s="5"/>
      <c r="AR32" s="5"/>
      <c r="AS32" s="5"/>
      <c r="AT32" s="5"/>
      <c r="AW32">
        <v>2</v>
      </c>
      <c r="AX32">
        <v>6</v>
      </c>
      <c r="AY32" s="10">
        <f t="shared" si="15"/>
        <v>0.31</v>
      </c>
      <c r="AZ32" s="10">
        <f t="shared" si="16"/>
        <v>2.157584162089222</v>
      </c>
      <c r="BA32" s="10">
        <f t="shared" si="2"/>
        <v>1.847584162089222</v>
      </c>
      <c r="BB32" s="24">
        <f t="shared" si="3"/>
        <v>3.4135672360029323</v>
      </c>
      <c r="BC32" s="10">
        <f t="shared" si="4"/>
        <v>0.0923792081044611</v>
      </c>
    </row>
    <row r="33" spans="1:55" ht="12.75" customHeight="1">
      <c r="A33" s="7" t="s">
        <v>6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7" t="s">
        <v>12</v>
      </c>
      <c r="H33" s="7"/>
      <c r="I33" s="7" t="s">
        <v>7</v>
      </c>
      <c r="J33" s="7" t="s">
        <v>8</v>
      </c>
      <c r="K33" s="7" t="s">
        <v>9</v>
      </c>
      <c r="L33" s="7" t="s">
        <v>10</v>
      </c>
      <c r="M33" s="7" t="s">
        <v>11</v>
      </c>
      <c r="N33" s="7" t="s">
        <v>12</v>
      </c>
      <c r="O33" s="7"/>
      <c r="P33" s="7"/>
      <c r="Q33" s="7" t="s">
        <v>41</v>
      </c>
      <c r="R33" s="7" t="s">
        <v>41</v>
      </c>
      <c r="S33" s="7" t="s">
        <v>41</v>
      </c>
      <c r="T33" s="7"/>
      <c r="U33" s="7" t="s">
        <v>41</v>
      </c>
      <c r="V33" s="7" t="s">
        <v>19</v>
      </c>
      <c r="W33" s="15"/>
      <c r="X33" s="4" t="s">
        <v>17</v>
      </c>
      <c r="Y33" s="4">
        <v>1</v>
      </c>
      <c r="Z33" s="15">
        <v>2</v>
      </c>
      <c r="AA33" s="15">
        <v>3</v>
      </c>
      <c r="AB33" s="15">
        <v>4</v>
      </c>
      <c r="AC33" s="15">
        <v>5</v>
      </c>
      <c r="AD33" s="15">
        <v>6</v>
      </c>
      <c r="AE33" s="15"/>
      <c r="AF33" s="4" t="s">
        <v>17</v>
      </c>
      <c r="AG33" s="4">
        <v>1</v>
      </c>
      <c r="AH33" s="15">
        <v>2</v>
      </c>
      <c r="AI33" s="15">
        <v>3</v>
      </c>
      <c r="AJ33" s="15">
        <v>4</v>
      </c>
      <c r="AK33" s="15">
        <v>5</v>
      </c>
      <c r="AL33" s="15">
        <v>6</v>
      </c>
      <c r="AM33" s="15"/>
      <c r="AN33" s="7" t="s">
        <v>6</v>
      </c>
      <c r="AO33" s="7" t="s">
        <v>7</v>
      </c>
      <c r="AP33" s="7" t="s">
        <v>8</v>
      </c>
      <c r="AQ33" s="7" t="s">
        <v>9</v>
      </c>
      <c r="AR33" s="7" t="s">
        <v>10</v>
      </c>
      <c r="AS33" s="7" t="s">
        <v>11</v>
      </c>
      <c r="AT33" s="7" t="s">
        <v>12</v>
      </c>
      <c r="AW33">
        <v>2</v>
      </c>
      <c r="AX33">
        <v>7</v>
      </c>
      <c r="AY33" s="10">
        <f t="shared" si="15"/>
        <v>10.75</v>
      </c>
      <c r="AZ33" s="10">
        <f t="shared" si="16"/>
        <v>9.223994946693477</v>
      </c>
      <c r="BA33" s="10">
        <f t="shared" si="2"/>
        <v>-1.5260050533065233</v>
      </c>
      <c r="BB33" s="24">
        <f t="shared" si="3"/>
        <v>2.328691422717045</v>
      </c>
      <c r="BC33" s="10">
        <f t="shared" si="4"/>
        <v>-0.07630025266532617</v>
      </c>
    </row>
    <row r="34" spans="1:55" ht="12.75" customHeight="1">
      <c r="A34" s="8" t="s">
        <v>7</v>
      </c>
      <c r="B34" s="25">
        <v>6.13</v>
      </c>
      <c r="C34" s="26"/>
      <c r="D34" s="26"/>
      <c r="E34" s="26"/>
      <c r="F34" s="26"/>
      <c r="G34" s="26"/>
      <c r="H34" s="10"/>
      <c r="I34" s="9">
        <v>0</v>
      </c>
      <c r="J34" s="10"/>
      <c r="K34" s="10"/>
      <c r="L34" s="10"/>
      <c r="M34" s="10"/>
      <c r="N34" s="10"/>
      <c r="O34" s="11">
        <f>B34</f>
        <v>6.13</v>
      </c>
      <c r="P34" s="11">
        <f>$G$29-O34</f>
        <v>13.870000000000001</v>
      </c>
      <c r="Q34" s="11">
        <f>$B34</f>
        <v>6.13</v>
      </c>
      <c r="R34" s="11">
        <f>20-Y40</f>
        <v>6.129999999999997</v>
      </c>
      <c r="S34" s="11">
        <f aca="true" t="shared" si="17" ref="S34:S39">R34/$G$29</f>
        <v>0.3064999999999999</v>
      </c>
      <c r="T34" s="11">
        <f aca="true" t="shared" si="18" ref="T34:T39">Q34/R34</f>
        <v>1.0000000000000004</v>
      </c>
      <c r="U34" s="11">
        <f>AG40</f>
        <v>13.870000000000003</v>
      </c>
      <c r="V34" s="11"/>
      <c r="W34" s="11"/>
      <c r="X34" s="4">
        <v>2</v>
      </c>
      <c r="Y34" s="10">
        <f>(-Z31-SQRT(Z31^2-4*Z30*Z32))/(2*Z30)</f>
        <v>8.707958434740718</v>
      </c>
      <c r="Z34" s="11"/>
      <c r="AA34" s="11"/>
      <c r="AB34" s="11"/>
      <c r="AC34" s="11"/>
      <c r="AD34" s="11"/>
      <c r="AE34" s="11"/>
      <c r="AF34" s="4">
        <v>2</v>
      </c>
      <c r="AG34" s="10">
        <f aca="true" t="shared" si="19" ref="AG34:AG40">Y34</f>
        <v>8.707958434740718</v>
      </c>
      <c r="AH34" s="10"/>
      <c r="AI34" s="10"/>
      <c r="AJ34" s="10"/>
      <c r="AK34" s="10"/>
      <c r="AL34" s="10"/>
      <c r="AM34" s="11"/>
      <c r="AN34" s="8" t="s">
        <v>7</v>
      </c>
      <c r="AO34" s="9">
        <f>$G$3-AG34-AG35-AG36-AG37-AG38-AG39</f>
        <v>6.129999999999998</v>
      </c>
      <c r="AP34" s="10"/>
      <c r="AQ34" s="10"/>
      <c r="AR34" s="10"/>
      <c r="AS34" s="10"/>
      <c r="AT34" s="10"/>
      <c r="AW34">
        <v>2</v>
      </c>
      <c r="AX34">
        <v>2</v>
      </c>
      <c r="AY34" s="10">
        <f aca="true" t="shared" si="20" ref="AY34:AY39">C22</f>
        <v>4.35</v>
      </c>
      <c r="AZ34" s="10">
        <f aca="true" t="shared" si="21" ref="AZ34:AZ39">AP22</f>
        <v>3.514521446118173</v>
      </c>
      <c r="BA34" s="10">
        <f t="shared" si="2"/>
        <v>-0.8354785538818268</v>
      </c>
      <c r="BB34" s="24">
        <f t="shared" si="3"/>
        <v>0.6980244139964685</v>
      </c>
      <c r="BC34" s="10">
        <f t="shared" si="4"/>
        <v>-0.04177392769409134</v>
      </c>
    </row>
    <row r="35" spans="1:55" ht="12.75">
      <c r="A35" s="8" t="s">
        <v>8</v>
      </c>
      <c r="B35" s="26">
        <v>3.35</v>
      </c>
      <c r="C35" s="25">
        <v>8.34</v>
      </c>
      <c r="D35" s="26"/>
      <c r="E35" s="26"/>
      <c r="F35" s="26"/>
      <c r="G35" s="26"/>
      <c r="H35" s="10"/>
      <c r="I35" s="10">
        <v>0</v>
      </c>
      <c r="J35" s="9">
        <v>0</v>
      </c>
      <c r="K35" s="10"/>
      <c r="L35" s="10"/>
      <c r="M35" s="10"/>
      <c r="N35" s="10"/>
      <c r="O35" s="11">
        <f>SUM(B35:C35)</f>
        <v>11.69</v>
      </c>
      <c r="P35" s="11">
        <f>P34+$G$29-O35</f>
        <v>22.180000000000007</v>
      </c>
      <c r="Q35" s="11">
        <f>C35</f>
        <v>8.34</v>
      </c>
      <c r="R35" s="11">
        <f>20-Z40</f>
        <v>8.14408313051856</v>
      </c>
      <c r="S35" s="11">
        <f t="shared" si="17"/>
        <v>0.407204156525928</v>
      </c>
      <c r="T35" s="11">
        <f t="shared" si="18"/>
        <v>1.0240563445070048</v>
      </c>
      <c r="U35" s="11">
        <f>AH40</f>
        <v>11.85591686948144</v>
      </c>
      <c r="V35" s="11">
        <f>(U35-Q35)^2</f>
        <v>12.361671433104172</v>
      </c>
      <c r="W35" s="11"/>
      <c r="X35" s="4">
        <v>3</v>
      </c>
      <c r="Y35" s="10">
        <f>(-AA31-SQRT(AA31^2-4*AA30*AA32))/(2*AA30)</f>
        <v>2.8133610741173185</v>
      </c>
      <c r="Z35" s="10">
        <f>$G$29*Y35/Y34</f>
        <v>6.4615859048966335</v>
      </c>
      <c r="AA35" s="11"/>
      <c r="AB35" s="11"/>
      <c r="AC35" s="11"/>
      <c r="AD35" s="11"/>
      <c r="AE35" s="11"/>
      <c r="AF35" s="4">
        <v>3</v>
      </c>
      <c r="AG35" s="10">
        <f t="shared" si="19"/>
        <v>2.8133610741173185</v>
      </c>
      <c r="AH35" s="10">
        <f>Z35-(Z35*(Z40-AH40)/Z40)</f>
        <v>6.4615859048966335</v>
      </c>
      <c r="AI35" s="10"/>
      <c r="AJ35" s="10"/>
      <c r="AK35" s="10"/>
      <c r="AL35" s="10"/>
      <c r="AM35" s="11"/>
      <c r="AN35" s="8" t="s">
        <v>8</v>
      </c>
      <c r="AO35" s="10">
        <f>AG34-AG35-AG36-AG37-AG38-AG39</f>
        <v>3.5459168694814336</v>
      </c>
      <c r="AP35" s="9">
        <f>$G$3-AH35-AH36-AH37-AH38-AH39</f>
        <v>8.14408313051856</v>
      </c>
      <c r="AQ35" s="10"/>
      <c r="AR35" s="10"/>
      <c r="AS35" s="10"/>
      <c r="AT35" s="10"/>
      <c r="AU35" s="10">
        <f>AP35-C35</f>
        <v>-0.19591686948144016</v>
      </c>
      <c r="AV35" s="10">
        <f>AU35^2</f>
        <v>0.03838341974740766</v>
      </c>
      <c r="AW35">
        <v>2</v>
      </c>
      <c r="AX35">
        <v>3</v>
      </c>
      <c r="AY35" s="10">
        <f t="shared" si="20"/>
        <v>1.15</v>
      </c>
      <c r="AZ35" s="10">
        <f t="shared" si="21"/>
        <v>1.350363997557635</v>
      </c>
      <c r="BA35" s="10">
        <f t="shared" si="2"/>
        <v>0.200363997557635</v>
      </c>
      <c r="BB35" s="24">
        <f t="shared" si="3"/>
        <v>0.04014573151727597</v>
      </c>
      <c r="BC35" s="10">
        <f t="shared" si="4"/>
        <v>0.01001819987788175</v>
      </c>
    </row>
    <row r="36" spans="1:55" ht="12.75">
      <c r="A36" s="8" t="s">
        <v>9</v>
      </c>
      <c r="B36" s="26">
        <v>1.22</v>
      </c>
      <c r="C36" s="26">
        <v>2.22</v>
      </c>
      <c r="D36" s="25">
        <v>1.86</v>
      </c>
      <c r="E36" s="26"/>
      <c r="F36" s="26"/>
      <c r="G36" s="26"/>
      <c r="H36" s="10"/>
      <c r="I36" s="10">
        <v>0</v>
      </c>
      <c r="J36" s="10">
        <v>0</v>
      </c>
      <c r="K36" s="9">
        <v>0</v>
      </c>
      <c r="L36" s="10"/>
      <c r="M36" s="10"/>
      <c r="N36" s="10"/>
      <c r="O36" s="11">
        <f>SUM(B36:D36)</f>
        <v>5.300000000000001</v>
      </c>
      <c r="P36" s="11">
        <f>P35+$G$29-O36</f>
        <v>36.88000000000001</v>
      </c>
      <c r="Q36" s="11">
        <f>D36</f>
        <v>1.86</v>
      </c>
      <c r="R36" s="11">
        <f>20-AA40</f>
        <v>3.303383893737461</v>
      </c>
      <c r="S36" s="11">
        <f t="shared" si="17"/>
        <v>0.16516919468687305</v>
      </c>
      <c r="T36" s="11">
        <f t="shared" si="18"/>
        <v>0.5630589903662662</v>
      </c>
      <c r="U36" s="11">
        <f>AI40</f>
        <v>16.69661610626254</v>
      </c>
      <c r="V36" s="11">
        <f>(U36-Q36)^2</f>
        <v>220.125177484609</v>
      </c>
      <c r="W36" s="11"/>
      <c r="X36" s="4">
        <v>4</v>
      </c>
      <c r="Y36" s="10">
        <f>(-AB31-SQRT(AB31^2-4*AB30*AB32))/(2*AB30)</f>
        <v>1.4832142007692217</v>
      </c>
      <c r="Z36" s="10">
        <f>Z35*Y36/Y35</f>
        <v>3.406571613506754</v>
      </c>
      <c r="AA36" s="10">
        <f>$G$29*Y36/Y35</f>
        <v>10.544072813224478</v>
      </c>
      <c r="AB36" s="11"/>
      <c r="AC36" s="11"/>
      <c r="AD36" s="11"/>
      <c r="AE36" s="11"/>
      <c r="AF36" s="4">
        <v>4</v>
      </c>
      <c r="AG36" s="10">
        <f t="shared" si="19"/>
        <v>1.4832142007692217</v>
      </c>
      <c r="AH36" s="10">
        <f>Z36-(Z36*(Z40-AH40)/Z40)</f>
        <v>3.406571613506754</v>
      </c>
      <c r="AI36" s="10">
        <f>AA36-(AA36*(AA40-AI40)/AA40)</f>
        <v>10.544072813224478</v>
      </c>
      <c r="AJ36" s="10"/>
      <c r="AK36" s="10"/>
      <c r="AL36" s="10"/>
      <c r="AM36" s="11"/>
      <c r="AN36" s="8" t="s">
        <v>9</v>
      </c>
      <c r="AO36" s="10">
        <f>2*(AG35-AG36-AG37-AG38-AG39)</f>
        <v>0.9293611659507075</v>
      </c>
      <c r="AP36" s="10">
        <f>AH35-AH36-AH37-AH38-AH39</f>
        <v>1.0672549403118274</v>
      </c>
      <c r="AQ36" s="9">
        <f>$G$3-AI36-AI37-AI38-AI39</f>
        <v>3.303383893737462</v>
      </c>
      <c r="AR36" s="10"/>
      <c r="AS36" s="10"/>
      <c r="AT36" s="10"/>
      <c r="AU36" s="10">
        <f>AQ36-D36</f>
        <v>1.443383893737462</v>
      </c>
      <c r="AV36" s="10">
        <f>AU36^2</f>
        <v>2.0833570647007167</v>
      </c>
      <c r="AW36">
        <v>2</v>
      </c>
      <c r="AX36">
        <v>4</v>
      </c>
      <c r="AY36" s="10">
        <f t="shared" si="20"/>
        <v>1.26</v>
      </c>
      <c r="AZ36" s="10">
        <f t="shared" si="21"/>
        <v>1.7188234767826467</v>
      </c>
      <c r="BA36" s="10">
        <f t="shared" si="2"/>
        <v>0.4588234767826467</v>
      </c>
      <c r="BB36" s="24">
        <f t="shared" si="3"/>
        <v>0.21051898284691592</v>
      </c>
      <c r="BC36" s="10">
        <f t="shared" si="4"/>
        <v>0.022941173839132335</v>
      </c>
    </row>
    <row r="37" spans="1:59" ht="12.75">
      <c r="A37" s="8" t="s">
        <v>10</v>
      </c>
      <c r="B37" s="26">
        <v>2.46</v>
      </c>
      <c r="C37" s="26">
        <v>2.16</v>
      </c>
      <c r="D37" s="26">
        <v>6.47</v>
      </c>
      <c r="E37" s="25">
        <v>6.94</v>
      </c>
      <c r="F37" s="26"/>
      <c r="G37" s="26"/>
      <c r="H37" s="10"/>
      <c r="I37" s="10">
        <v>0</v>
      </c>
      <c r="J37" s="10">
        <v>0</v>
      </c>
      <c r="K37" s="10">
        <v>0</v>
      </c>
      <c r="L37" s="9">
        <v>0.26</v>
      </c>
      <c r="M37" s="10"/>
      <c r="N37" s="10"/>
      <c r="O37" s="11">
        <f>SUM(B37:E37)</f>
        <v>18.03</v>
      </c>
      <c r="P37" s="11">
        <f>P36+$G$29-O37</f>
        <v>38.85000000000001</v>
      </c>
      <c r="Q37" s="11">
        <f>E37</f>
        <v>6.94</v>
      </c>
      <c r="R37" s="11">
        <f>20-AB40</f>
        <v>8.329854313370292</v>
      </c>
      <c r="S37" s="11">
        <f t="shared" si="17"/>
        <v>0.41649271566851465</v>
      </c>
      <c r="T37" s="11">
        <f t="shared" si="18"/>
        <v>0.8331478245496527</v>
      </c>
      <c r="U37" s="11">
        <f>AJ40</f>
        <v>11.670145686629708</v>
      </c>
      <c r="V37" s="11">
        <f>(U37-Q37)^2</f>
        <v>22.374278216741622</v>
      </c>
      <c r="W37" s="11"/>
      <c r="X37" s="4">
        <v>5</v>
      </c>
      <c r="Y37" s="10">
        <f>(-AC31-SQRT(AC31^2-4*AC30*AC32))/(2*AC30)</f>
        <v>0.608323217095582</v>
      </c>
      <c r="Z37" s="10">
        <f>$G$29*Y37/Y34</f>
        <v>1.3971661019158161</v>
      </c>
      <c r="AA37" s="10">
        <f>$G$29*Y37/Y35</f>
        <v>4.324529991490276</v>
      </c>
      <c r="AB37" s="10">
        <f>$G$29*Y37/Y36</f>
        <v>8.202769590260052</v>
      </c>
      <c r="AC37" s="11"/>
      <c r="AD37" s="11"/>
      <c r="AE37" s="11"/>
      <c r="AF37" s="4">
        <v>5</v>
      </c>
      <c r="AG37" s="10">
        <f t="shared" si="19"/>
        <v>0.608323217095582</v>
      </c>
      <c r="AH37" s="10">
        <f>Z37-(Z37*(Z40-AH40)/Z40)</f>
        <v>1.3971661019158161</v>
      </c>
      <c r="AI37" s="10">
        <f>AA37-(AA37*(AA40-AI40)/AA40)</f>
        <v>4.324529991490276</v>
      </c>
      <c r="AJ37" s="10">
        <f>AB37-(AB37*(AB40-AJ40)/AB40)</f>
        <v>8.202769590260052</v>
      </c>
      <c r="AK37" s="10"/>
      <c r="AL37" s="10"/>
      <c r="AM37" s="11"/>
      <c r="AN37" s="8" t="s">
        <v>10</v>
      </c>
      <c r="AO37" s="10">
        <f>4*(AG36-AG37-AG38-AG39)</f>
        <v>2.4709916415859148</v>
      </c>
      <c r="AP37" s="10">
        <f>2*(AH36-AH37-AH38-AH39)</f>
        <v>2.8376245248574032</v>
      </c>
      <c r="AQ37" s="10">
        <f>AI36-AI37-AI38-AI39</f>
        <v>4.391529520186419</v>
      </c>
      <c r="AR37" s="9">
        <f>$G$3-AJ37-AJ38-AJ39</f>
        <v>8.329854313370292</v>
      </c>
      <c r="AS37" s="10"/>
      <c r="AT37" s="10"/>
      <c r="AU37" s="10">
        <f>AR37-E37</f>
        <v>1.389854313370292</v>
      </c>
      <c r="AV37" s="10">
        <f>AU37^2</f>
        <v>1.931695012394006</v>
      </c>
      <c r="AW37">
        <v>2</v>
      </c>
      <c r="AX37">
        <v>5</v>
      </c>
      <c r="AY37" s="10">
        <f t="shared" si="20"/>
        <v>2.16</v>
      </c>
      <c r="AZ37" s="10">
        <f t="shared" si="21"/>
        <v>2.7521318478312065</v>
      </c>
      <c r="BA37" s="10">
        <f t="shared" si="2"/>
        <v>0.5921318478312063</v>
      </c>
      <c r="BB37" s="24">
        <f t="shared" si="3"/>
        <v>0.3506201252159989</v>
      </c>
      <c r="BC37" s="10">
        <f t="shared" si="4"/>
        <v>0.029606592391560316</v>
      </c>
      <c r="BD37">
        <v>0</v>
      </c>
      <c r="BE37">
        <f>STDEV(BA2:BA313)*2</f>
        <v>2.3119587642969073</v>
      </c>
      <c r="BF37">
        <v>0</v>
      </c>
      <c r="BG37">
        <f>-BE37</f>
        <v>-2.3119587642969073</v>
      </c>
    </row>
    <row r="38" spans="1:59" ht="12.75">
      <c r="A38" s="8" t="s">
        <v>11</v>
      </c>
      <c r="B38" s="26">
        <v>2.94</v>
      </c>
      <c r="C38" s="26">
        <v>2.64</v>
      </c>
      <c r="D38" s="26">
        <v>3.89</v>
      </c>
      <c r="E38" s="26">
        <v>7.08</v>
      </c>
      <c r="F38" s="25">
        <v>10.76</v>
      </c>
      <c r="G38" s="26"/>
      <c r="H38" s="10"/>
      <c r="I38" s="10">
        <v>0</v>
      </c>
      <c r="J38" s="10">
        <v>0</v>
      </c>
      <c r="K38" s="10">
        <v>0</v>
      </c>
      <c r="L38" s="10">
        <v>0.07</v>
      </c>
      <c r="M38" s="9">
        <v>0.74</v>
      </c>
      <c r="N38" s="10"/>
      <c r="O38" s="11">
        <f>SUM(B38:F38)</f>
        <v>27.310000000000002</v>
      </c>
      <c r="P38" s="11">
        <f>P37+$G$29-O38</f>
        <v>31.540000000000006</v>
      </c>
      <c r="Q38" s="11">
        <f>F38</f>
        <v>10.76</v>
      </c>
      <c r="R38" s="11">
        <f>20-AC40</f>
        <v>11.545840564662921</v>
      </c>
      <c r="S38" s="11">
        <f t="shared" si="17"/>
        <v>0.5772920282331461</v>
      </c>
      <c r="T38" s="11">
        <f t="shared" si="18"/>
        <v>0.9319373448592339</v>
      </c>
      <c r="U38" s="11">
        <f>AK40</f>
        <v>8.454159435337079</v>
      </c>
      <c r="V38" s="11">
        <f>(U38-Q38)^2</f>
        <v>5.316900709645017</v>
      </c>
      <c r="W38" s="11"/>
      <c r="X38" s="4">
        <v>6</v>
      </c>
      <c r="Y38" s="10">
        <f>(-AD31-SQRT(AD31^2-4*AD30*AD32))/(2*AD30)</f>
        <v>0.17603910640349682</v>
      </c>
      <c r="Z38" s="11">
        <f>Z37*Y38/Y37</f>
        <v>0.4043177461692568</v>
      </c>
      <c r="AA38" s="11">
        <f>AA37*Y38/Y37</f>
        <v>1.2514505018430913</v>
      </c>
      <c r="AB38" s="11">
        <f>AB37*Y38/Y37</f>
        <v>2.3737516309134548</v>
      </c>
      <c r="AC38" s="11">
        <f>$G$29*Y38/Y37</f>
        <v>5.787683305726499</v>
      </c>
      <c r="AD38" s="11"/>
      <c r="AE38" s="11"/>
      <c r="AF38" s="4">
        <v>6</v>
      </c>
      <c r="AG38" s="10">
        <f t="shared" si="19"/>
        <v>0.17603910640349682</v>
      </c>
      <c r="AH38" s="10">
        <f>Z38-(Z38*(Z40-AH40)/Z40)</f>
        <v>0.4043177461692568</v>
      </c>
      <c r="AI38" s="10">
        <f>AA38-(AA38*(AA40-AI40)/AA40)</f>
        <v>1.2514505018430913</v>
      </c>
      <c r="AJ38" s="10">
        <f>AB38-(AB38*(AB40-AJ40)/AB40)</f>
        <v>2.3737516309134548</v>
      </c>
      <c r="AK38" s="10">
        <f>AC38-(AC38*(AC40-AK40)/AC40)</f>
        <v>5.787683305726499</v>
      </c>
      <c r="AL38" s="10"/>
      <c r="AM38" s="11"/>
      <c r="AN38" s="8" t="s">
        <v>11</v>
      </c>
      <c r="AO38" s="10">
        <f>8*(AG37-AG38-AG39)</f>
        <v>2.809441150547368</v>
      </c>
      <c r="AP38" s="10">
        <f>4*(AH37-AH38-AH39)</f>
        <v>3.22629141101432</v>
      </c>
      <c r="AQ38" s="10">
        <f>2*(AI37-AI38-AI39)</f>
        <v>4.993033379884983</v>
      </c>
      <c r="AR38" s="10">
        <f>AJ37-AJ38-AJ39</f>
        <v>4.735393493890398</v>
      </c>
      <c r="AS38" s="9">
        <f>$G$3-AK38-AK39</f>
        <v>11.545840564662921</v>
      </c>
      <c r="AT38" s="10"/>
      <c r="AU38" s="10">
        <f>AS38-F38</f>
        <v>0.7858405646629212</v>
      </c>
      <c r="AV38" s="10">
        <f>AU38^2</f>
        <v>0.6175453930697388</v>
      </c>
      <c r="AW38">
        <v>2</v>
      </c>
      <c r="AX38">
        <v>6</v>
      </c>
      <c r="AY38" s="10">
        <f t="shared" si="20"/>
        <v>2.95</v>
      </c>
      <c r="AZ38" s="10">
        <f t="shared" si="21"/>
        <v>2.021584249463312</v>
      </c>
      <c r="BA38" s="10">
        <f t="shared" si="2"/>
        <v>-0.9284157505366881</v>
      </c>
      <c r="BB38" s="24">
        <f t="shared" si="3"/>
        <v>0.861955805844602</v>
      </c>
      <c r="BC38" s="10">
        <f t="shared" si="4"/>
        <v>-0.04642078752683441</v>
      </c>
      <c r="BD38">
        <v>20</v>
      </c>
      <c r="BE38">
        <f>BE37</f>
        <v>2.3119587642969073</v>
      </c>
      <c r="BF38">
        <v>20</v>
      </c>
      <c r="BG38">
        <f>BG37</f>
        <v>-2.3119587642969073</v>
      </c>
    </row>
    <row r="39" spans="1:55" ht="12.75">
      <c r="A39" s="8" t="s">
        <v>12</v>
      </c>
      <c r="B39" s="26">
        <v>0.27</v>
      </c>
      <c r="C39" s="26">
        <v>2</v>
      </c>
      <c r="D39" s="26">
        <v>2.84</v>
      </c>
      <c r="E39" s="26">
        <v>3.1</v>
      </c>
      <c r="F39" s="26">
        <v>4.59</v>
      </c>
      <c r="G39" s="25">
        <v>9.63</v>
      </c>
      <c r="H39" s="9"/>
      <c r="I39" s="10">
        <v>0.03</v>
      </c>
      <c r="J39" s="10">
        <v>0.04</v>
      </c>
      <c r="K39" s="10">
        <v>0.06</v>
      </c>
      <c r="L39" s="10">
        <v>0.13</v>
      </c>
      <c r="M39" s="10">
        <v>0.26</v>
      </c>
      <c r="N39" s="9">
        <v>2.25</v>
      </c>
      <c r="O39" s="11">
        <f>SUM(B39:G39)</f>
        <v>22.43</v>
      </c>
      <c r="P39" s="11">
        <f>P38+$G$29-O39</f>
        <v>29.110000000000007</v>
      </c>
      <c r="Q39" s="11">
        <f>G39</f>
        <v>9.63</v>
      </c>
      <c r="R39" s="11">
        <f>20-AD40</f>
        <v>10.785687506528589</v>
      </c>
      <c r="S39" s="11">
        <f t="shared" si="17"/>
        <v>0.5392843753264295</v>
      </c>
      <c r="T39" s="11">
        <f t="shared" si="18"/>
        <v>0.8928498989212278</v>
      </c>
      <c r="U39" s="11">
        <f>AL40</f>
        <v>9.214312493471411</v>
      </c>
      <c r="V39" s="11">
        <f>(U39-Q39)^2</f>
        <v>0.17279610308395646</v>
      </c>
      <c r="W39" s="11"/>
      <c r="X39" s="4">
        <v>7</v>
      </c>
      <c r="Y39" s="10">
        <f>P34-Y34-Y35-Y36-Y37-Y38</f>
        <v>0.0811039668736642</v>
      </c>
      <c r="Z39" s="22">
        <f>Z37*Y39/Y37</f>
        <v>0.1862755029929793</v>
      </c>
      <c r="AA39" s="22">
        <f>AA37*Y39/Y37</f>
        <v>0.5765627997046932</v>
      </c>
      <c r="AB39" s="22">
        <f>AB37*Y39/Y37</f>
        <v>1.0936244654561993</v>
      </c>
      <c r="AC39" s="22">
        <f>$G$29*Y39/Y37</f>
        <v>2.6664761296105794</v>
      </c>
      <c r="AD39" s="22">
        <f>$G$29*Y39/Y38</f>
        <v>9.214312493471411</v>
      </c>
      <c r="AE39" s="11"/>
      <c r="AF39" s="4">
        <v>7</v>
      </c>
      <c r="AG39" s="10">
        <f t="shared" si="19"/>
        <v>0.0811039668736642</v>
      </c>
      <c r="AH39" s="10">
        <f>Z39-(Z39*(Z40-AH40)/Z40)</f>
        <v>0.1862755029929793</v>
      </c>
      <c r="AI39" s="10">
        <f>AA39-(AA39*(AA40-AI40)/AA40)</f>
        <v>0.5765627997046932</v>
      </c>
      <c r="AJ39" s="10">
        <f>AB39-(AB39*(AB40-AJ40)/AB40)</f>
        <v>1.0936244654561993</v>
      </c>
      <c r="AK39" s="10">
        <f>AC39-(AC39*(AC40-AK40)/AC40)</f>
        <v>2.6664761296105794</v>
      </c>
      <c r="AL39" s="10">
        <f>AD39-(AD39*(AD40-AL40)/AD40)</f>
        <v>9.214312493471411</v>
      </c>
      <c r="AM39" s="11"/>
      <c r="AN39" s="8" t="s">
        <v>12</v>
      </c>
      <c r="AO39" s="10">
        <f>16*(AG38-AG39)</f>
        <v>1.518962232477322</v>
      </c>
      <c r="AP39" s="10">
        <f>8*(AH38-AH39)</f>
        <v>1.7443379454102201</v>
      </c>
      <c r="AQ39" s="10">
        <f>4*(AI38-AI39)</f>
        <v>2.6995508085535924</v>
      </c>
      <c r="AR39" s="10">
        <f>2*(AJ38-AJ39)</f>
        <v>2.560254330914511</v>
      </c>
      <c r="AS39" s="10">
        <f>AK38-AK39</f>
        <v>3.1212071761159192</v>
      </c>
      <c r="AT39" s="9">
        <f>$G$3-AL39</f>
        <v>10.785687506528589</v>
      </c>
      <c r="AU39" s="10">
        <f>AT39-G39</f>
        <v>1.1556875065285883</v>
      </c>
      <c r="AV39" s="10">
        <f>AU39^2</f>
        <v>1.3356136127462659</v>
      </c>
      <c r="AW39">
        <v>2</v>
      </c>
      <c r="AX39">
        <v>7</v>
      </c>
      <c r="AY39" s="10">
        <f t="shared" si="20"/>
        <v>8.13</v>
      </c>
      <c r="AZ39" s="10">
        <f t="shared" si="21"/>
        <v>8.642574982247027</v>
      </c>
      <c r="BA39" s="10">
        <f t="shared" si="2"/>
        <v>0.5125749822470258</v>
      </c>
      <c r="BB39" s="24">
        <f t="shared" si="3"/>
        <v>0.2627331124255388</v>
      </c>
      <c r="BC39" s="10">
        <f t="shared" si="4"/>
        <v>0.02562874911235129</v>
      </c>
    </row>
    <row r="40" spans="1:55" ht="12.75">
      <c r="A40" s="12" t="s">
        <v>13</v>
      </c>
      <c r="B40" s="28">
        <v>3.63</v>
      </c>
      <c r="C40" s="28">
        <v>2.64</v>
      </c>
      <c r="D40" s="28">
        <v>4.94</v>
      </c>
      <c r="E40" s="28">
        <v>2.88</v>
      </c>
      <c r="F40" s="28">
        <v>4.65</v>
      </c>
      <c r="G40" s="28">
        <v>10.37</v>
      </c>
      <c r="H40" s="13"/>
      <c r="I40" s="13"/>
      <c r="J40" s="13"/>
      <c r="K40" s="13"/>
      <c r="L40" s="13"/>
      <c r="M40" s="13"/>
      <c r="N40" s="13"/>
      <c r="O40" s="14">
        <f>SUM(B40:G40)</f>
        <v>29.11</v>
      </c>
      <c r="P40" s="14"/>
      <c r="Q40" s="14"/>
      <c r="R40" s="14"/>
      <c r="S40" s="14"/>
      <c r="T40" s="14"/>
      <c r="U40" s="14"/>
      <c r="V40" s="14"/>
      <c r="W40" s="22"/>
      <c r="X40" s="16" t="s">
        <v>18</v>
      </c>
      <c r="Y40" s="10">
        <f aca="true" t="shared" si="22" ref="Y40:AD40">SUM(Y34:Y39)</f>
        <v>13.870000000000003</v>
      </c>
      <c r="Z40" s="10">
        <f t="shared" si="22"/>
        <v>11.85591686948144</v>
      </c>
      <c r="AA40" s="10">
        <f t="shared" si="22"/>
        <v>16.69661610626254</v>
      </c>
      <c r="AB40" s="10">
        <f t="shared" si="22"/>
        <v>11.670145686629708</v>
      </c>
      <c r="AC40" s="10">
        <f t="shared" si="22"/>
        <v>8.454159435337079</v>
      </c>
      <c r="AD40" s="10">
        <f t="shared" si="22"/>
        <v>9.214312493471411</v>
      </c>
      <c r="AE40" s="22"/>
      <c r="AF40" s="16" t="s">
        <v>18</v>
      </c>
      <c r="AG40" s="10">
        <f t="shared" si="19"/>
        <v>13.870000000000003</v>
      </c>
      <c r="AH40" s="10">
        <f>Z40*(V29*(Z40/$G$29)^2-V29*(Z40/$G$29)+1)</f>
        <v>11.85591686948144</v>
      </c>
      <c r="AI40" s="10">
        <f>AA40*(V29*(AA40/$G$29)^2-V29*(AA40/$G$29)+1)</f>
        <v>16.69661610626254</v>
      </c>
      <c r="AJ40" s="10">
        <f>AB40*(V29*(AB40/$G$29)^2-V29*(AB40/$G$29)+1)</f>
        <v>11.670145686629708</v>
      </c>
      <c r="AK40" s="10">
        <f>AC40*(V29*(AC40/$G$29)^2-V29*(AC40/$G$29)+1)</f>
        <v>8.454159435337079</v>
      </c>
      <c r="AL40" s="10">
        <f>AD40*(V29*(AD40/$G$29)^2-V29*(AD40/$G$29)+1)</f>
        <v>9.214312493471411</v>
      </c>
      <c r="AM40" s="22"/>
      <c r="AN40" s="12" t="s">
        <v>13</v>
      </c>
      <c r="AO40" s="13">
        <f>32*AG39</f>
        <v>2.5953269399572543</v>
      </c>
      <c r="AP40" s="13">
        <f>16*AH39</f>
        <v>2.9804080478876687</v>
      </c>
      <c r="AQ40" s="13">
        <f>8*AI39</f>
        <v>4.612502397637545</v>
      </c>
      <c r="AR40" s="13">
        <f>4*AJ39</f>
        <v>4.374497861824797</v>
      </c>
      <c r="AS40" s="13">
        <f>2*AK39</f>
        <v>5.332952259221159</v>
      </c>
      <c r="AT40" s="13">
        <f>AL39</f>
        <v>9.214312493471411</v>
      </c>
      <c r="AW40">
        <v>2</v>
      </c>
      <c r="AX40">
        <v>3</v>
      </c>
      <c r="AY40" s="10">
        <f>D23</f>
        <v>3.82</v>
      </c>
      <c r="AZ40" s="10">
        <f>AQ23</f>
        <v>3.0284277149523335</v>
      </c>
      <c r="BA40" s="10">
        <f t="shared" si="2"/>
        <v>-0.7915722850476663</v>
      </c>
      <c r="BB40" s="24">
        <f t="shared" si="3"/>
        <v>0.6265866824555839</v>
      </c>
      <c r="BC40" s="10">
        <f t="shared" si="4"/>
        <v>-0.039578614252383314</v>
      </c>
    </row>
    <row r="41" spans="24:55" ht="12.75">
      <c r="X41" s="16"/>
      <c r="AW41">
        <v>2</v>
      </c>
      <c r="AX41">
        <v>4</v>
      </c>
      <c r="AY41" s="10">
        <f>D24</f>
        <v>1.42</v>
      </c>
      <c r="AZ41" s="10">
        <f>AQ24</f>
        <v>1.927381307415641</v>
      </c>
      <c r="BA41" s="10">
        <f t="shared" si="2"/>
        <v>0.507381307415641</v>
      </c>
      <c r="BB41" s="24">
        <f t="shared" si="3"/>
        <v>0.25743579111480525</v>
      </c>
      <c r="BC41" s="10">
        <f t="shared" si="4"/>
        <v>0.02536906537078205</v>
      </c>
    </row>
    <row r="42" spans="1:55" ht="12.75">
      <c r="A42" s="2" t="s">
        <v>47</v>
      </c>
      <c r="F42" t="s">
        <v>30</v>
      </c>
      <c r="G42">
        <v>20</v>
      </c>
      <c r="O42" s="18" t="s">
        <v>22</v>
      </c>
      <c r="P42" s="20">
        <f>AVERAGE(S48:S52)*$G$42</f>
        <v>6.383488291518234</v>
      </c>
      <c r="Q42" s="8" t="s">
        <v>24</v>
      </c>
      <c r="R42">
        <f>P42/$G$42</f>
        <v>0.3191744145759117</v>
      </c>
      <c r="T42" s="19">
        <f>(P43-1)/(R42^2-R42)</f>
        <v>3.3835588458804384</v>
      </c>
      <c r="U42" s="18" t="s">
        <v>20</v>
      </c>
      <c r="V42" s="19">
        <v>0</v>
      </c>
      <c r="X42" s="23"/>
      <c r="Y42" s="11"/>
      <c r="Z42" s="4" t="s">
        <v>32</v>
      </c>
      <c r="AA42" s="4" t="s">
        <v>33</v>
      </c>
      <c r="AB42" s="4" t="s">
        <v>34</v>
      </c>
      <c r="AC42" s="4" t="s">
        <v>35</v>
      </c>
      <c r="AD42" s="4" t="s">
        <v>36</v>
      </c>
      <c r="AW42">
        <v>2</v>
      </c>
      <c r="AX42">
        <v>5</v>
      </c>
      <c r="AY42" s="10">
        <f>D25</f>
        <v>1.55</v>
      </c>
      <c r="AZ42" s="10">
        <f>AQ25</f>
        <v>3.086068785249614</v>
      </c>
      <c r="BA42" s="10">
        <f t="shared" si="2"/>
        <v>1.5360687852496138</v>
      </c>
      <c r="BB42" s="24">
        <f t="shared" si="3"/>
        <v>2.359507313018224</v>
      </c>
      <c r="BC42" s="10">
        <f t="shared" si="4"/>
        <v>0.07680343926248069</v>
      </c>
    </row>
    <row r="43" spans="1:5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2" t="s">
        <v>23</v>
      </c>
      <c r="P43" s="3">
        <f>Q47/P42</f>
        <v>0.26474553141195695</v>
      </c>
      <c r="Q43" s="12"/>
      <c r="R43" s="3"/>
      <c r="S43" s="3"/>
      <c r="T43" s="3"/>
      <c r="U43" s="17" t="s">
        <v>21</v>
      </c>
      <c r="V43" s="13">
        <f>SUM(V48:V52)</f>
        <v>517.5563561923324</v>
      </c>
      <c r="W43" s="19"/>
      <c r="Y43" s="21" t="s">
        <v>37</v>
      </c>
      <c r="Z43">
        <f>-2</f>
        <v>-2</v>
      </c>
      <c r="AA43">
        <f>-2*$G$42-4*Y47</f>
        <v>-80.33382511834694</v>
      </c>
      <c r="AB43">
        <f>-2*$G$42*Y47-4*$G$42*Y48-8*Y47*Y48</f>
        <v>-1108.4151551650534</v>
      </c>
      <c r="AC43">
        <f>-2*$G$42*Y47*Y48-4*$G$42*Y47*Y49-8*$G$42*Y48*Y49-16*Y47*Y48*Y49</f>
        <v>-6798.091899521119</v>
      </c>
      <c r="AD43">
        <f>-2*$G$42*Y47*Y48*Y49-4*$G$42*Y47*Y48*Y50-8*$G$42*Y47*Y49*Y50-16*$G$42*Y48*Y49*Y50-32*Y47*Y48*Y49*Y50</f>
        <v>-18208.092914727382</v>
      </c>
      <c r="AE43" s="19"/>
      <c r="AM43" s="19"/>
      <c r="AN43" s="3"/>
      <c r="AO43" s="3"/>
      <c r="AP43" s="3"/>
      <c r="AQ43" s="3"/>
      <c r="AR43" s="3"/>
      <c r="AS43" s="3"/>
      <c r="AT43" s="3"/>
      <c r="AW43">
        <v>2</v>
      </c>
      <c r="AX43">
        <v>6</v>
      </c>
      <c r="AY43" s="10">
        <f>D26</f>
        <v>3.33</v>
      </c>
      <c r="AZ43" s="10">
        <f>AQ26</f>
        <v>2.2668783306793197</v>
      </c>
      <c r="BA43" s="10">
        <f t="shared" si="2"/>
        <v>-1.0631216693206804</v>
      </c>
      <c r="BB43" s="24">
        <f t="shared" si="3"/>
        <v>1.1302276837791903</v>
      </c>
      <c r="BC43" s="10">
        <f t="shared" si="4"/>
        <v>-0.053156083466034024</v>
      </c>
    </row>
    <row r="44" spans="24:55" ht="12.75">
      <c r="X44" s="4"/>
      <c r="Y44" s="21" t="s">
        <v>38</v>
      </c>
      <c r="Z44">
        <f>2*P47-$G$42-P48</f>
        <v>-16.150000000000006</v>
      </c>
      <c r="AA44">
        <f>2*P47*$G$42+4*P47*Y47-P49*Y47-2*$G$42*Y47-$G$42*Y47-4*Y47^2</f>
        <v>-25.51114438735442</v>
      </c>
      <c r="AB44">
        <f>2*P47*$G$42*Y47-2*$G$42*Y47^2+4*P47*$G$42*Y48+8*P47*Y47*Y48-P50*Y47*Y48-4*$G$42*Y47*Y48-2*$G$42*Y47*Y48-$G$42*Y47*Y48-8*Y47^2*Y48-4*$G$42*Y48^2-8*Y47*Y48^2</f>
        <v>1016.4323091885212</v>
      </c>
      <c r="AC44">
        <f>2*P47*$G$42*Y47*Y48-2*$G$42*Y47^2*Y48-2*$G$42*Y47*Y48^2+4*P47*$G$42*Y47*Y49-4*$G$42*Y47^2*Y49+8*P47*$G$42*Y48*Y49+16*P47*Y47*Y48*Y49-P51*Y47*Y48*Y49-8*$G$42*Y47*Y48*Y49-4*$G$42*Y47*Y48*Y49-2*$G$42*Y47*Y48*Y49-$G$42*Y47*Y48*Y49-16*Y47^2*Y48*Y49-8*$G$42*Y48^2*Y49-16*Y47*Y48^2*Y49-4*$G$42*Y47*Y49^2-8*$G$42*Y48*Y49^2-16*Y47*Y48*Y49^2</f>
        <v>4077.8718073654304</v>
      </c>
      <c r="AD44">
        <f>2*P47*$G$42*Y47*Y48*Y49-2*$G$42*Y47^2*Y48*Y49-2*$G$42*Y47*Y48^2*Y49-2*$G$42*Y47*Y48*Y49^2+4*P47*$G$42*Y47*Y48*Y50-4*$G$42*Y47^2*Y48*Y50-4*$G$42*Y47*Y48^2*Y50+8*P47*$G$42*Y47*Y49*Y50-8*$G$42*Y47^2*Y49*Y50+16*P47*$G$42*Y48*Y49*Y50+32*P47*Y47*Y48*Y49*Y50-P52*Y47*Y48*Y49*Y50-16*$G$42*Y47*Y48*Y49*Y50-8*$G$42*Y47*Y48*Y49*Y50-4*$G$42*Y47*Y48*Y49*Y50-2*$G$42*Y47*Y48*Y49*Y50-$G$42*Y47*Y48*Y49*Y50-32*Y47^2*Y48*Y49*Y50-16*$G$42*Y48^2*Y49*Y50-32*Y47*Y48^2*Y49*Y50-8*$G$42*Y47*Y49^2*Y50-16*$G$42*Y48*Y49^2*Y50-32*Y47*Y48*Y49^2*Y50-4*$G$42*Y47*Y48*Y50^2-8*$G$42*Y47*Y49*Y50^2-16*$G$42*Y48*Y49*Y50^2-32*Y47*Y48*Y49*Y50^2</f>
        <v>3131.725289006452</v>
      </c>
      <c r="AW44">
        <v>2</v>
      </c>
      <c r="AX44">
        <v>7</v>
      </c>
      <c r="AY44" s="10">
        <f>D27</f>
        <v>9.88</v>
      </c>
      <c r="AZ44" s="10">
        <f>AQ27</f>
        <v>9.691243861703093</v>
      </c>
      <c r="BA44" s="10">
        <f t="shared" si="2"/>
        <v>-0.18875613829690785</v>
      </c>
      <c r="BB44" s="24">
        <f t="shared" si="3"/>
        <v>0.0356288797447614</v>
      </c>
      <c r="BC44" s="10">
        <f t="shared" si="4"/>
        <v>-0.009437806914845392</v>
      </c>
    </row>
    <row r="45" spans="1:55" ht="15.75">
      <c r="A45" s="4" t="s">
        <v>1</v>
      </c>
      <c r="B45" s="5" t="s">
        <v>2</v>
      </c>
      <c r="C45" s="5"/>
      <c r="D45" s="5"/>
      <c r="E45" s="5"/>
      <c r="F45" s="5"/>
      <c r="G45" s="5"/>
      <c r="H45" s="6"/>
      <c r="I45" s="5" t="s">
        <v>3</v>
      </c>
      <c r="J45" s="5"/>
      <c r="K45" s="5"/>
      <c r="L45" s="5"/>
      <c r="M45" s="5"/>
      <c r="N45" s="5"/>
      <c r="O45" s="4" t="s">
        <v>4</v>
      </c>
      <c r="P45" s="4" t="s">
        <v>14</v>
      </c>
      <c r="Q45" s="4" t="s">
        <v>5</v>
      </c>
      <c r="R45" s="4" t="s">
        <v>40</v>
      </c>
      <c r="S45" s="4" t="s">
        <v>42</v>
      </c>
      <c r="T45" s="4" t="s">
        <v>16</v>
      </c>
      <c r="U45" s="4" t="s">
        <v>15</v>
      </c>
      <c r="V45" s="4"/>
      <c r="W45" s="4"/>
      <c r="Y45" s="21" t="s">
        <v>39</v>
      </c>
      <c r="Z45">
        <f>$G$42*P47</f>
        <v>366.2</v>
      </c>
      <c r="AA45">
        <f>P47*$G$42*Y47-$G$42*Y47^2</f>
        <v>1659.0398787379195</v>
      </c>
      <c r="AB45">
        <f>P47*$G$42*Y47*Y48-$G$42*Y47^2*Y48-$G$42*Y47*Y48^2</f>
        <v>3396.773516542098</v>
      </c>
      <c r="AC45">
        <f>P47*$G$42*Y47*Y48*Y49-$G$42*Y47^2*Y48*Y49-$G$42*Y47*Y48^2*Y49-$G$42*Y47*Y48*Y49^2</f>
        <v>3151.469540384771</v>
      </c>
      <c r="AD45">
        <f>P47*$G$42*Y47*Y48*Y49*Y50-$G$42*Y47^2*Y48*Y49*Y50-$G$42*Y47*Y48^2*Y49*Y50-$G$42*Y47*Y48*Y49^2*Y50-$G$42*Y47*Y48*Y49*Y50^2</f>
        <v>1102.3569390785983</v>
      </c>
      <c r="AE45" s="4"/>
      <c r="AM45" s="4"/>
      <c r="AN45" s="4" t="s">
        <v>1</v>
      </c>
      <c r="AO45" s="5" t="s">
        <v>31</v>
      </c>
      <c r="AP45" s="5"/>
      <c r="AQ45" s="5"/>
      <c r="AR45" s="5"/>
      <c r="AS45" s="5"/>
      <c r="AT45" s="5"/>
      <c r="AW45">
        <v>2</v>
      </c>
      <c r="AX45">
        <v>4</v>
      </c>
      <c r="AY45" s="10">
        <f>E24</f>
        <v>4.86</v>
      </c>
      <c r="AZ45" s="10">
        <f>AR24</f>
        <v>4.0793397327231045</v>
      </c>
      <c r="BA45" s="10">
        <f t="shared" si="2"/>
        <v>-0.7806602672768959</v>
      </c>
      <c r="BB45" s="24">
        <f t="shared" si="3"/>
        <v>0.6094304529048344</v>
      </c>
      <c r="BC45" s="10">
        <f t="shared" si="4"/>
        <v>-0.03903301336384479</v>
      </c>
    </row>
    <row r="46" spans="1:55" ht="12.75">
      <c r="A46" s="7" t="s">
        <v>6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11</v>
      </c>
      <c r="G46" s="7" t="s">
        <v>12</v>
      </c>
      <c r="H46" s="7"/>
      <c r="I46" s="7" t="s">
        <v>7</v>
      </c>
      <c r="J46" s="7" t="s">
        <v>8</v>
      </c>
      <c r="K46" s="7" t="s">
        <v>9</v>
      </c>
      <c r="L46" s="7" t="s">
        <v>10</v>
      </c>
      <c r="M46" s="7" t="s">
        <v>11</v>
      </c>
      <c r="N46" s="7" t="s">
        <v>12</v>
      </c>
      <c r="O46" s="7"/>
      <c r="P46" s="7"/>
      <c r="Q46" s="7" t="s">
        <v>41</v>
      </c>
      <c r="R46" s="7" t="s">
        <v>41</v>
      </c>
      <c r="S46" s="7" t="s">
        <v>41</v>
      </c>
      <c r="T46" s="7"/>
      <c r="U46" s="7" t="s">
        <v>41</v>
      </c>
      <c r="V46" s="7" t="s">
        <v>19</v>
      </c>
      <c r="W46" s="15"/>
      <c r="X46" s="4" t="s">
        <v>17</v>
      </c>
      <c r="Y46" s="4">
        <v>1</v>
      </c>
      <c r="Z46" s="15">
        <v>2</v>
      </c>
      <c r="AA46" s="15">
        <v>3</v>
      </c>
      <c r="AB46" s="15">
        <v>4</v>
      </c>
      <c r="AC46" s="15">
        <v>5</v>
      </c>
      <c r="AD46" s="15">
        <v>6</v>
      </c>
      <c r="AE46" s="15"/>
      <c r="AF46" s="4" t="s">
        <v>17</v>
      </c>
      <c r="AG46" s="4">
        <v>1</v>
      </c>
      <c r="AH46" s="15">
        <v>2</v>
      </c>
      <c r="AI46" s="15">
        <v>3</v>
      </c>
      <c r="AJ46" s="15">
        <v>4</v>
      </c>
      <c r="AK46" s="15">
        <v>5</v>
      </c>
      <c r="AL46" s="15">
        <v>6</v>
      </c>
      <c r="AM46" s="15"/>
      <c r="AN46" s="7" t="s">
        <v>6</v>
      </c>
      <c r="AO46" s="7" t="s">
        <v>7</v>
      </c>
      <c r="AP46" s="7" t="s">
        <v>8</v>
      </c>
      <c r="AQ46" s="7" t="s">
        <v>9</v>
      </c>
      <c r="AR46" s="7" t="s">
        <v>10</v>
      </c>
      <c r="AS46" s="7" t="s">
        <v>11</v>
      </c>
      <c r="AT46" s="7" t="s">
        <v>12</v>
      </c>
      <c r="AW46">
        <v>2</v>
      </c>
      <c r="AX46">
        <v>5</v>
      </c>
      <c r="AY46" s="10">
        <f>E25</f>
        <v>2.92</v>
      </c>
      <c r="AZ46" s="10">
        <f>AR25</f>
        <v>3.2658620702474273</v>
      </c>
      <c r="BA46" s="10">
        <f t="shared" si="2"/>
        <v>0.3458620702474273</v>
      </c>
      <c r="BB46" s="24">
        <f t="shared" si="3"/>
        <v>0.11962057163583635</v>
      </c>
      <c r="BC46" s="10">
        <f t="shared" si="4"/>
        <v>0.017293103512371365</v>
      </c>
    </row>
    <row r="47" spans="1:55" ht="12.75">
      <c r="A47" s="8" t="s">
        <v>7</v>
      </c>
      <c r="B47" s="25">
        <v>1.69</v>
      </c>
      <c r="C47" s="26"/>
      <c r="D47" s="26"/>
      <c r="E47" s="26"/>
      <c r="F47" s="26"/>
      <c r="G47" s="26"/>
      <c r="H47" s="10"/>
      <c r="I47" s="9">
        <v>0.39</v>
      </c>
      <c r="J47" s="10"/>
      <c r="K47" s="10"/>
      <c r="L47" s="10"/>
      <c r="M47" s="10"/>
      <c r="N47" s="10"/>
      <c r="O47" s="11">
        <f>B47</f>
        <v>1.69</v>
      </c>
      <c r="P47" s="11">
        <f>$G$42-O47</f>
        <v>18.31</v>
      </c>
      <c r="Q47" s="11">
        <f>$B47</f>
        <v>1.69</v>
      </c>
      <c r="R47" s="11">
        <f>20-Y53</f>
        <v>1.6900000000000013</v>
      </c>
      <c r="S47" s="11">
        <f aca="true" t="shared" si="23" ref="S47:S52">R47/$G$42</f>
        <v>0.08450000000000006</v>
      </c>
      <c r="T47" s="11">
        <f aca="true" t="shared" si="24" ref="T47:T52">Q47/R47</f>
        <v>0.9999999999999992</v>
      </c>
      <c r="U47" s="11">
        <f>AG53</f>
        <v>18.31</v>
      </c>
      <c r="V47" s="11"/>
      <c r="W47" s="11"/>
      <c r="X47" s="4">
        <v>2</v>
      </c>
      <c r="Y47" s="10">
        <f>(-Z44-SQRT(Z44^2-4*Z43*Z45))/(2*Z43)</f>
        <v>10.083456279586732</v>
      </c>
      <c r="Z47" s="11"/>
      <c r="AA47" s="11"/>
      <c r="AB47" s="11"/>
      <c r="AC47" s="11"/>
      <c r="AD47" s="11"/>
      <c r="AE47" s="11"/>
      <c r="AF47" s="4">
        <v>2</v>
      </c>
      <c r="AG47" s="10">
        <f aca="true" t="shared" si="25" ref="AG47:AG53">Y47</f>
        <v>10.083456279586732</v>
      </c>
      <c r="AH47" s="10"/>
      <c r="AI47" s="10"/>
      <c r="AJ47" s="10"/>
      <c r="AK47" s="10"/>
      <c r="AL47" s="10"/>
      <c r="AM47" s="11"/>
      <c r="AN47" s="8" t="s">
        <v>7</v>
      </c>
      <c r="AO47" s="9">
        <f>$G$3-AG47-AG48-AG49-AG50-AG51-AG52</f>
        <v>1.690000000000001</v>
      </c>
      <c r="AP47" s="10"/>
      <c r="AQ47" s="10"/>
      <c r="AR47" s="10"/>
      <c r="AS47" s="10"/>
      <c r="AT47" s="10"/>
      <c r="AW47">
        <v>2</v>
      </c>
      <c r="AX47">
        <v>6</v>
      </c>
      <c r="AY47" s="10">
        <f>E26</f>
        <v>2.25</v>
      </c>
      <c r="AZ47" s="10">
        <f>AR26</f>
        <v>2.3989458671228494</v>
      </c>
      <c r="BA47" s="10">
        <f t="shared" si="2"/>
        <v>0.1489458671228494</v>
      </c>
      <c r="BB47" s="24">
        <f t="shared" si="3"/>
        <v>0.022184871332977512</v>
      </c>
      <c r="BC47" s="10">
        <f t="shared" si="4"/>
        <v>0.00744729335614247</v>
      </c>
    </row>
    <row r="48" spans="1:55" ht="12.75">
      <c r="A48" s="8" t="s">
        <v>8</v>
      </c>
      <c r="B48" s="26">
        <v>3.42</v>
      </c>
      <c r="C48" s="25">
        <v>2.12</v>
      </c>
      <c r="D48" s="26"/>
      <c r="E48" s="26"/>
      <c r="F48" s="26"/>
      <c r="G48" s="26"/>
      <c r="H48" s="10"/>
      <c r="I48" s="10">
        <v>0</v>
      </c>
      <c r="J48" s="9">
        <v>0.12</v>
      </c>
      <c r="K48" s="10"/>
      <c r="L48" s="10"/>
      <c r="M48" s="10"/>
      <c r="N48" s="10"/>
      <c r="O48" s="11">
        <f>SUM(B48:C48)</f>
        <v>5.54</v>
      </c>
      <c r="P48" s="11">
        <f>P47+$G$42-O48</f>
        <v>32.77</v>
      </c>
      <c r="Q48" s="11">
        <f>C48</f>
        <v>2.12</v>
      </c>
      <c r="R48" s="11">
        <f>20-Z53</f>
        <v>3.683087440826533</v>
      </c>
      <c r="S48" s="11">
        <f t="shared" si="23"/>
        <v>0.18415437204132665</v>
      </c>
      <c r="T48" s="11">
        <f t="shared" si="24"/>
        <v>0.5756040371184465</v>
      </c>
      <c r="U48" s="11">
        <f>AH53</f>
        <v>16.316912559173467</v>
      </c>
      <c r="V48" s="11">
        <f>(U48-Q48)^2</f>
        <v>201.5523262128173</v>
      </c>
      <c r="W48" s="11"/>
      <c r="X48" s="4">
        <v>3</v>
      </c>
      <c r="Y48" s="10">
        <f>(-AA44-SQRT(AA44^2-4*AA43*AA45))/(2*AA43)</f>
        <v>4.38841859542274</v>
      </c>
      <c r="Z48" s="10">
        <f>$G$42*Y48/Y47</f>
        <v>8.704195215893966</v>
      </c>
      <c r="AA48" s="11"/>
      <c r="AB48" s="11"/>
      <c r="AC48" s="11"/>
      <c r="AD48" s="11"/>
      <c r="AE48" s="11"/>
      <c r="AF48" s="4">
        <v>3</v>
      </c>
      <c r="AG48" s="10">
        <f t="shared" si="25"/>
        <v>4.38841859542274</v>
      </c>
      <c r="AH48" s="10">
        <f>Z48-(Z48*(Z53-AH53)/Z53)</f>
        <v>8.704195215893966</v>
      </c>
      <c r="AI48" s="10"/>
      <c r="AJ48" s="10"/>
      <c r="AK48" s="10"/>
      <c r="AL48" s="10"/>
      <c r="AM48" s="11"/>
      <c r="AN48" s="8" t="s">
        <v>8</v>
      </c>
      <c r="AO48" s="10">
        <f>AG47-AG48-AG49-AG50-AG51-AG52</f>
        <v>1.8569125591734659</v>
      </c>
      <c r="AP48" s="9">
        <f>$G$3-AH48-AH49-AH50-AH51-AH52</f>
        <v>3.6830874408265317</v>
      </c>
      <c r="AQ48" s="10"/>
      <c r="AR48" s="10"/>
      <c r="AS48" s="10"/>
      <c r="AT48" s="10"/>
      <c r="AU48" s="10">
        <f>AP48-C48</f>
        <v>1.5630874408265316</v>
      </c>
      <c r="AV48" s="10">
        <f>AU48^2</f>
        <v>2.443242347669636</v>
      </c>
      <c r="AW48">
        <v>2</v>
      </c>
      <c r="AX48">
        <v>7</v>
      </c>
      <c r="AY48" s="10">
        <f>E27</f>
        <v>9.97</v>
      </c>
      <c r="AZ48" s="10">
        <f>AR27</f>
        <v>10.255852329906618</v>
      </c>
      <c r="BA48" s="10">
        <f t="shared" si="2"/>
        <v>0.2858523299066178</v>
      </c>
      <c r="BB48" s="24">
        <f t="shared" si="3"/>
        <v>0.08171155451304186</v>
      </c>
      <c r="BC48" s="10">
        <f t="shared" si="4"/>
        <v>0.01429261649533089</v>
      </c>
    </row>
    <row r="49" spans="1:55" ht="12.75">
      <c r="A49" s="8" t="s">
        <v>9</v>
      </c>
      <c r="B49" s="26">
        <v>1.39</v>
      </c>
      <c r="C49" s="26">
        <v>1.38</v>
      </c>
      <c r="D49" s="25">
        <v>1.93</v>
      </c>
      <c r="E49" s="26"/>
      <c r="F49" s="26"/>
      <c r="G49" s="26"/>
      <c r="H49" s="10"/>
      <c r="I49" s="10">
        <v>0.1</v>
      </c>
      <c r="J49" s="10">
        <v>0.07</v>
      </c>
      <c r="K49" s="9">
        <v>0.83</v>
      </c>
      <c r="L49" s="10"/>
      <c r="M49" s="10"/>
      <c r="N49" s="10"/>
      <c r="O49" s="11">
        <f>SUM(B49:D49)</f>
        <v>4.699999999999999</v>
      </c>
      <c r="P49" s="11">
        <f>P48+$G$42-O49</f>
        <v>48.07000000000001</v>
      </c>
      <c r="Q49" s="11">
        <f>D49</f>
        <v>1.93</v>
      </c>
      <c r="R49" s="11">
        <f>20-AA53</f>
        <v>2.50793518652112</v>
      </c>
      <c r="S49" s="11">
        <f t="shared" si="23"/>
        <v>0.125396759326056</v>
      </c>
      <c r="T49" s="11">
        <f t="shared" si="24"/>
        <v>0.7695573675000739</v>
      </c>
      <c r="U49" s="11">
        <f>AI53</f>
        <v>17.49206481347888</v>
      </c>
      <c r="V49" s="11">
        <f>(U49-Q49)^2</f>
        <v>242.17786125891746</v>
      </c>
      <c r="W49" s="11"/>
      <c r="X49" s="4">
        <v>4</v>
      </c>
      <c r="Y49" s="10">
        <f>(-AB44-SQRT(AB44^2-4*AB43*AB45))/(2*AB43)</f>
        <v>2.2681369856556883</v>
      </c>
      <c r="Z49" s="10">
        <f>Z48*Y49/Y48</f>
        <v>4.498729250698249</v>
      </c>
      <c r="AA49" s="10">
        <f>$G$42*Y49/Y48</f>
        <v>10.33692176959339</v>
      </c>
      <c r="AB49" s="11"/>
      <c r="AC49" s="11"/>
      <c r="AD49" s="11"/>
      <c r="AE49" s="11"/>
      <c r="AF49" s="4">
        <v>4</v>
      </c>
      <c r="AG49" s="10">
        <f t="shared" si="25"/>
        <v>2.2681369856556883</v>
      </c>
      <c r="AH49" s="10">
        <f>Z49-(Z49*(Z53-AH53)/Z53)</f>
        <v>4.498729250698249</v>
      </c>
      <c r="AI49" s="10">
        <f>AA49-(AA49*(AA53-AI53)/AA53)</f>
        <v>10.33692176959339</v>
      </c>
      <c r="AJ49" s="10"/>
      <c r="AK49" s="10"/>
      <c r="AL49" s="10"/>
      <c r="AM49" s="11"/>
      <c r="AN49" s="8" t="s">
        <v>9</v>
      </c>
      <c r="AO49" s="10">
        <f>2*(AG48-AG49-AG50-AG51-AG52)</f>
        <v>1.100586940864428</v>
      </c>
      <c r="AP49" s="10">
        <f>AH48-AH49-AH50-AH51-AH52</f>
        <v>1.0914778726144636</v>
      </c>
      <c r="AQ49" s="9">
        <f>$G$3-AI49-AI50-AI51-AI52</f>
        <v>2.5079351865211192</v>
      </c>
      <c r="AR49" s="10"/>
      <c r="AS49" s="10"/>
      <c r="AT49" s="10"/>
      <c r="AU49" s="10">
        <f>AQ49-D49</f>
        <v>0.5779351865211193</v>
      </c>
      <c r="AV49" s="10">
        <f>AU49^2</f>
        <v>0.33400907981920097</v>
      </c>
      <c r="AW49">
        <v>2</v>
      </c>
      <c r="AX49">
        <v>5</v>
      </c>
      <c r="AY49" s="10">
        <f>F25</f>
        <v>7.72</v>
      </c>
      <c r="AZ49" s="10">
        <f>AS25</f>
        <v>6.808658729904728</v>
      </c>
      <c r="BA49" s="10">
        <f t="shared" si="2"/>
        <v>-0.9113412700952717</v>
      </c>
      <c r="BB49" s="24">
        <f t="shared" si="3"/>
        <v>0.8305429105788629</v>
      </c>
      <c r="BC49" s="10">
        <f t="shared" si="4"/>
        <v>-0.04556706350476358</v>
      </c>
    </row>
    <row r="50" spans="1:55" ht="12.75">
      <c r="A50" s="8" t="s">
        <v>10</v>
      </c>
      <c r="B50" s="26">
        <v>2.8</v>
      </c>
      <c r="C50" s="26">
        <v>2.76</v>
      </c>
      <c r="D50" s="26">
        <v>3.35</v>
      </c>
      <c r="E50" s="25">
        <v>5.99</v>
      </c>
      <c r="F50" s="26"/>
      <c r="G50" s="26"/>
      <c r="H50" s="10"/>
      <c r="I50" s="10">
        <v>0.35</v>
      </c>
      <c r="J50" s="10">
        <v>0.16</v>
      </c>
      <c r="K50" s="10">
        <v>0.4</v>
      </c>
      <c r="L50" s="9">
        <v>2.02</v>
      </c>
      <c r="M50" s="10"/>
      <c r="N50" s="10"/>
      <c r="O50" s="11">
        <f>SUM(B50:E50)</f>
        <v>14.9</v>
      </c>
      <c r="P50" s="11">
        <f>P49+$G$42-O50</f>
        <v>53.17000000000001</v>
      </c>
      <c r="Q50" s="11">
        <f>E50</f>
        <v>5.99</v>
      </c>
      <c r="R50" s="11">
        <f>20-AB53</f>
        <v>6.15614357277477</v>
      </c>
      <c r="S50" s="11">
        <f t="shared" si="23"/>
        <v>0.3078071786387385</v>
      </c>
      <c r="T50" s="11">
        <f t="shared" si="24"/>
        <v>0.9730117449648947</v>
      </c>
      <c r="U50" s="11">
        <f>AJ53</f>
        <v>13.84385642722523</v>
      </c>
      <c r="V50" s="11">
        <f>(U50-Q50)^2</f>
        <v>61.68306077946705</v>
      </c>
      <c r="W50" s="11"/>
      <c r="X50" s="4">
        <v>5</v>
      </c>
      <c r="Y50" s="10">
        <f>(-AC44-SQRT(AC44^2-4*AC43*AC45))/(2*AC43)</f>
        <v>1.0439290845268687</v>
      </c>
      <c r="Z50" s="10">
        <f>$G$42*Y50/Y47</f>
        <v>2.070577896271999</v>
      </c>
      <c r="AA50" s="10">
        <f>$G$42*Y50/Y48</f>
        <v>4.757655004086073</v>
      </c>
      <c r="AB50" s="10">
        <f>$G$42*Y50/Y49</f>
        <v>9.20516786357225</v>
      </c>
      <c r="AC50" s="11"/>
      <c r="AD50" s="11"/>
      <c r="AE50" s="11"/>
      <c r="AF50" s="4">
        <v>5</v>
      </c>
      <c r="AG50" s="10">
        <f t="shared" si="25"/>
        <v>1.0439290845268687</v>
      </c>
      <c r="AH50" s="10">
        <f>Z50-(Z50*(Z53-AH53)/Z53)</f>
        <v>2.070577896271999</v>
      </c>
      <c r="AI50" s="10">
        <f>AA50-(AA50*(AA53-AI53)/AA53)</f>
        <v>4.757655004086073</v>
      </c>
      <c r="AJ50" s="10">
        <f>AB50-(AB50*(AB53-AJ53)/AB53)</f>
        <v>9.20516786357225</v>
      </c>
      <c r="AK50" s="10"/>
      <c r="AL50" s="10"/>
      <c r="AM50" s="11"/>
      <c r="AN50" s="8" t="s">
        <v>10</v>
      </c>
      <c r="AO50" s="10">
        <f>4*(AG49-AG50-AG51-AG52)</f>
        <v>2.792595385283402</v>
      </c>
      <c r="AP50" s="10">
        <f>2*(AH49-AH50-AH51-AH52)</f>
        <v>2.76948231623399</v>
      </c>
      <c r="AQ50" s="10">
        <f>AI49-AI50-AI51-AI52</f>
        <v>3.1817787257078995</v>
      </c>
      <c r="AR50" s="9">
        <f>$G$3-AJ50-AJ51-AJ52</f>
        <v>6.156143572774771</v>
      </c>
      <c r="AS50" s="10"/>
      <c r="AT50" s="10"/>
      <c r="AU50" s="10">
        <f>AR50-E50</f>
        <v>0.16614357277477065</v>
      </c>
      <c r="AV50" s="10">
        <f>AU50^2</f>
        <v>0.02760368677436551</v>
      </c>
      <c r="AW50">
        <v>2</v>
      </c>
      <c r="AX50">
        <v>6</v>
      </c>
      <c r="AY50" s="10">
        <f>F26</f>
        <v>2.49</v>
      </c>
      <c r="AZ50" s="10">
        <f>AS26</f>
        <v>2.5006573102943994</v>
      </c>
      <c r="BA50" s="10">
        <f t="shared" si="2"/>
        <v>0.010657310294399203</v>
      </c>
      <c r="BB50" s="24">
        <f t="shared" si="3"/>
        <v>0.00011357826271110722</v>
      </c>
      <c r="BC50" s="10">
        <f t="shared" si="4"/>
        <v>0.0005328655147199601</v>
      </c>
    </row>
    <row r="51" spans="1:55" ht="12.75">
      <c r="A51" s="8" t="s">
        <v>11</v>
      </c>
      <c r="B51" s="26">
        <v>4.38</v>
      </c>
      <c r="C51" s="26">
        <v>4.38</v>
      </c>
      <c r="D51" s="26">
        <v>3.53</v>
      </c>
      <c r="E51" s="26">
        <v>6.7</v>
      </c>
      <c r="F51" s="25">
        <v>8.47</v>
      </c>
      <c r="G51" s="26"/>
      <c r="H51" s="10"/>
      <c r="I51" s="10">
        <v>0.31</v>
      </c>
      <c r="J51" s="10">
        <v>0.36</v>
      </c>
      <c r="K51" s="10">
        <v>0.3</v>
      </c>
      <c r="L51" s="10">
        <v>0.38</v>
      </c>
      <c r="M51" s="9">
        <v>2.4</v>
      </c>
      <c r="N51" s="10"/>
      <c r="O51" s="11">
        <f>SUM(B51:F51)</f>
        <v>27.46</v>
      </c>
      <c r="P51" s="11">
        <f>P50+$G$42-O51</f>
        <v>45.710000000000015</v>
      </c>
      <c r="Q51" s="11">
        <f>F51</f>
        <v>8.47</v>
      </c>
      <c r="R51" s="11">
        <f>20-AC53</f>
        <v>9.92155573390523</v>
      </c>
      <c r="S51" s="11">
        <f t="shared" si="23"/>
        <v>0.4960777866952615</v>
      </c>
      <c r="T51" s="11">
        <f t="shared" si="24"/>
        <v>0.8536967615930651</v>
      </c>
      <c r="U51" s="11">
        <f>AK53</f>
        <v>10.07844426609477</v>
      </c>
      <c r="V51" s="11">
        <f>(U51-Q51)^2</f>
        <v>2.5870929571331427</v>
      </c>
      <c r="W51" s="11"/>
      <c r="X51" s="4">
        <v>6</v>
      </c>
      <c r="Y51" s="10">
        <f>(-AD44-SQRT(AD44^2-4*AD43*AD45))/(2*AD43)</f>
        <v>0.3466470254633114</v>
      </c>
      <c r="Z51" s="11">
        <f>Z50*Y51/Y50</f>
        <v>0.6875559646449294</v>
      </c>
      <c r="AA51" s="11">
        <f>AA50*Y51/Y50</f>
        <v>1.579826618294231</v>
      </c>
      <c r="AB51" s="11">
        <f>AB50*Y51/Y50</f>
        <v>3.056667455763042</v>
      </c>
      <c r="AC51" s="11">
        <f>$G$42*Y51/Y50</f>
        <v>6.641198728942768</v>
      </c>
      <c r="AD51" s="11"/>
      <c r="AE51" s="11"/>
      <c r="AF51" s="4">
        <v>6</v>
      </c>
      <c r="AG51" s="10">
        <f t="shared" si="25"/>
        <v>0.3466470254633114</v>
      </c>
      <c r="AH51" s="10">
        <f>Z51-(Z51*(Z53-AH53)/Z53)</f>
        <v>0.6875559646449294</v>
      </c>
      <c r="AI51" s="10">
        <f>AA51-(AA51*(AA53-AI53)/AA53)</f>
        <v>1.579826618294231</v>
      </c>
      <c r="AJ51" s="10">
        <f>AB51-(AB51*(AB53-AJ53)/AB53)</f>
        <v>3.056667455763042</v>
      </c>
      <c r="AK51" s="10">
        <f>AC51-(AC51*(AC53-AK53)/AC53)</f>
        <v>6.641198728942768</v>
      </c>
      <c r="AL51" s="10"/>
      <c r="AM51" s="11"/>
      <c r="AN51" s="8" t="s">
        <v>11</v>
      </c>
      <c r="AO51" s="10">
        <f>8*(AG50-AG51-AG52)</f>
        <v>4.142960237751197</v>
      </c>
      <c r="AP51" s="10">
        <f>4*(AH50-AH51-AH52)</f>
        <v>4.108670799850977</v>
      </c>
      <c r="AQ51" s="10">
        <f>2*(AI50-AI51-AI52)</f>
        <v>4.720333928573309</v>
      </c>
      <c r="AR51" s="10">
        <f>AJ50-AJ51-AJ52</f>
        <v>4.56647929991927</v>
      </c>
      <c r="AS51" s="9">
        <f>$G$3-AK51-AK52</f>
        <v>9.92155573390523</v>
      </c>
      <c r="AT51" s="10"/>
      <c r="AU51" s="10">
        <f>AS51-F51</f>
        <v>1.451555733905229</v>
      </c>
      <c r="AV51" s="10">
        <f>AU51^2</f>
        <v>2.1070140486331477</v>
      </c>
      <c r="AW51">
        <v>2</v>
      </c>
      <c r="AX51">
        <v>7</v>
      </c>
      <c r="AY51" s="10">
        <f>F27</f>
        <v>9.79</v>
      </c>
      <c r="AZ51" s="10">
        <f>AS27</f>
        <v>10.690683959800872</v>
      </c>
      <c r="BA51" s="10">
        <f t="shared" si="2"/>
        <v>0.9006839598008725</v>
      </c>
      <c r="BB51" s="24">
        <f t="shared" si="3"/>
        <v>0.8112315954425796</v>
      </c>
      <c r="BC51" s="10">
        <f t="shared" si="4"/>
        <v>0.04503419799004362</v>
      </c>
    </row>
    <row r="52" spans="1:55" ht="12.75">
      <c r="A52" s="8" t="s">
        <v>12</v>
      </c>
      <c r="B52" s="26">
        <v>0.29</v>
      </c>
      <c r="C52" s="26">
        <v>4.23</v>
      </c>
      <c r="D52" s="26">
        <v>5.26</v>
      </c>
      <c r="E52" s="26">
        <v>3.97</v>
      </c>
      <c r="F52" s="26">
        <v>3.17</v>
      </c>
      <c r="G52" s="25">
        <v>7.26</v>
      </c>
      <c r="H52" s="9"/>
      <c r="I52" s="10">
        <v>0.32</v>
      </c>
      <c r="J52" s="10">
        <v>0.42</v>
      </c>
      <c r="K52" s="10">
        <v>0.44</v>
      </c>
      <c r="L52" s="10">
        <v>0.47</v>
      </c>
      <c r="M52" s="10">
        <v>0.8</v>
      </c>
      <c r="N52" s="9">
        <v>3.87</v>
      </c>
      <c r="O52" s="11">
        <f>SUM(B52:G52)</f>
        <v>24.18</v>
      </c>
      <c r="P52" s="11">
        <f>P51+$G$42-O52</f>
        <v>41.53000000000001</v>
      </c>
      <c r="Q52" s="11">
        <f>G52</f>
        <v>7.26</v>
      </c>
      <c r="R52" s="11">
        <f>20-AD53</f>
        <v>9.64871952356352</v>
      </c>
      <c r="S52" s="11">
        <f t="shared" si="23"/>
        <v>0.48243597617817596</v>
      </c>
      <c r="T52" s="11">
        <f t="shared" si="24"/>
        <v>0.7524314477449642</v>
      </c>
      <c r="U52" s="11">
        <f>AL53</f>
        <v>10.35128047643648</v>
      </c>
      <c r="V52" s="11">
        <f>(U52-Q52)^2</f>
        <v>9.556014983997356</v>
      </c>
      <c r="W52" s="11"/>
      <c r="X52" s="4">
        <v>7</v>
      </c>
      <c r="Y52" s="10">
        <f>P47-Y47-Y48-Y49-Y50-Y51</f>
        <v>0.17941202934465772</v>
      </c>
      <c r="Z52" s="22">
        <f>Z50*Y52/Y50</f>
        <v>0.35585423166432545</v>
      </c>
      <c r="AA52" s="22">
        <f>AA50*Y52/Y50</f>
        <v>0.8176614215051871</v>
      </c>
      <c r="AB52" s="22">
        <f>AB50*Y52/Y50</f>
        <v>1.582021107889937</v>
      </c>
      <c r="AC52" s="22">
        <f>$G$42*Y52/Y50</f>
        <v>3.437245537152002</v>
      </c>
      <c r="AD52" s="22">
        <f>$G$42*Y52/Y51</f>
        <v>10.35128047643648</v>
      </c>
      <c r="AE52" s="11"/>
      <c r="AF52" s="4">
        <v>7</v>
      </c>
      <c r="AG52" s="10">
        <f t="shared" si="25"/>
        <v>0.17941202934465772</v>
      </c>
      <c r="AH52" s="10">
        <f>Z52-(Z52*(Z53-AH53)/Z53)</f>
        <v>0.35585423166432545</v>
      </c>
      <c r="AI52" s="10">
        <f>AA52-(AA52*(AA53-AI53)/AA53)</f>
        <v>0.8176614215051871</v>
      </c>
      <c r="AJ52" s="10">
        <f>AB52-(AB52*(AB53-AJ53)/AB53)</f>
        <v>1.582021107889937</v>
      </c>
      <c r="AK52" s="10">
        <f>AC52-(AC52*(AC53-AK53)/AC53)</f>
        <v>3.437245537152002</v>
      </c>
      <c r="AL52" s="10">
        <f>AD52-(AD52*(AD53-AL53)/AD53)</f>
        <v>10.35128047643648</v>
      </c>
      <c r="AM52" s="11"/>
      <c r="AN52" s="8" t="s">
        <v>12</v>
      </c>
      <c r="AO52" s="10">
        <f>16*(AG51-AG52)</f>
        <v>2.6757599378984587</v>
      </c>
      <c r="AP52" s="10">
        <f>8*(AH51-AH52)</f>
        <v>2.6536138638448317</v>
      </c>
      <c r="AQ52" s="10">
        <f>4*(AI51-AI52)</f>
        <v>3.048660787156176</v>
      </c>
      <c r="AR52" s="10">
        <f>2*(AJ51-AJ52)</f>
        <v>2.94929269574621</v>
      </c>
      <c r="AS52" s="10">
        <f>AK51-AK52</f>
        <v>3.2039531917907658</v>
      </c>
      <c r="AT52" s="9">
        <f>$G$3-AL52</f>
        <v>9.64871952356352</v>
      </c>
      <c r="AU52" s="10">
        <f>AT52-G52</f>
        <v>2.3887195235635197</v>
      </c>
      <c r="AV52" s="10">
        <f>AU52^2</f>
        <v>5.705980962253529</v>
      </c>
      <c r="AW52">
        <v>2</v>
      </c>
      <c r="AX52">
        <v>6</v>
      </c>
      <c r="AY52" s="10">
        <f>G26</f>
        <v>6.39</v>
      </c>
      <c r="AZ52" s="10">
        <f>AT26</f>
        <v>6.374350080351084</v>
      </c>
      <c r="BA52" s="10">
        <f t="shared" si="2"/>
        <v>-0.015649919648915933</v>
      </c>
      <c r="BB52" s="24">
        <f t="shared" si="3"/>
        <v>0.00024491998501752503</v>
      </c>
      <c r="BC52" s="10">
        <f t="shared" si="4"/>
        <v>-0.0007824959824457966</v>
      </c>
    </row>
    <row r="53" spans="1:55" ht="12.75">
      <c r="A53" s="12" t="s">
        <v>13</v>
      </c>
      <c r="B53" s="28">
        <v>6.03</v>
      </c>
      <c r="C53" s="28">
        <v>5.13</v>
      </c>
      <c r="D53" s="28">
        <v>5.93</v>
      </c>
      <c r="E53" s="28">
        <v>3.34</v>
      </c>
      <c r="F53" s="28">
        <v>8.36</v>
      </c>
      <c r="G53" s="28">
        <v>12.74</v>
      </c>
      <c r="H53" s="13"/>
      <c r="I53" s="13"/>
      <c r="J53" s="13"/>
      <c r="K53" s="13"/>
      <c r="L53" s="13"/>
      <c r="M53" s="13"/>
      <c r="N53" s="13"/>
      <c r="O53" s="14">
        <f>SUM(B53:G53)</f>
        <v>41.53</v>
      </c>
      <c r="P53" s="14"/>
      <c r="Q53" s="14"/>
      <c r="R53" s="14"/>
      <c r="S53" s="14"/>
      <c r="T53" s="14"/>
      <c r="U53" s="14"/>
      <c r="V53" s="14"/>
      <c r="W53" s="22"/>
      <c r="X53" s="16" t="s">
        <v>18</v>
      </c>
      <c r="Y53" s="10">
        <f aca="true" t="shared" si="26" ref="Y53:AD53">SUM(Y47:Y52)</f>
        <v>18.31</v>
      </c>
      <c r="Z53" s="10">
        <f t="shared" si="26"/>
        <v>16.316912559173467</v>
      </c>
      <c r="AA53" s="10">
        <f t="shared" si="26"/>
        <v>17.49206481347888</v>
      </c>
      <c r="AB53" s="10">
        <f t="shared" si="26"/>
        <v>13.84385642722523</v>
      </c>
      <c r="AC53" s="10">
        <f t="shared" si="26"/>
        <v>10.07844426609477</v>
      </c>
      <c r="AD53" s="10">
        <f t="shared" si="26"/>
        <v>10.35128047643648</v>
      </c>
      <c r="AE53" s="22"/>
      <c r="AF53" s="16" t="s">
        <v>18</v>
      </c>
      <c r="AG53" s="10">
        <f t="shared" si="25"/>
        <v>18.31</v>
      </c>
      <c r="AH53" s="10">
        <f>Z53*(V42*(Z53/$G$42)^2-V42*(Z53/$G$42)+1)</f>
        <v>16.316912559173467</v>
      </c>
      <c r="AI53" s="10">
        <f>AA53*(V42*(AA53/$G$42)^2-V42*(AA53/$G$42)+1)</f>
        <v>17.49206481347888</v>
      </c>
      <c r="AJ53" s="10">
        <f>AB53*(V42*(AB53/$G$42)^2-V42*(AB53/$G$42)+1)</f>
        <v>13.84385642722523</v>
      </c>
      <c r="AK53" s="10">
        <f>AC53*(V42*(AC53/$G$42)^2-V42*(AC53/$G$42)+1)</f>
        <v>10.07844426609477</v>
      </c>
      <c r="AL53" s="10">
        <f>AD53*(V42*(AD53/$G$42)^2-V42*(AD53/$G$42)+1)</f>
        <v>10.35128047643648</v>
      </c>
      <c r="AM53" s="22"/>
      <c r="AN53" s="12" t="s">
        <v>13</v>
      </c>
      <c r="AO53" s="13">
        <f>32*AG52</f>
        <v>5.741184939029047</v>
      </c>
      <c r="AP53" s="13">
        <f>16*AH52</f>
        <v>5.693667706629207</v>
      </c>
      <c r="AQ53" s="13">
        <f>8*AI52</f>
        <v>6.5412913720414965</v>
      </c>
      <c r="AR53" s="13">
        <f>4*AJ52</f>
        <v>6.328084431559748</v>
      </c>
      <c r="AS53" s="13">
        <f>2*AK52</f>
        <v>6.874491074304004</v>
      </c>
      <c r="AT53" s="13">
        <f>AL52</f>
        <v>10.35128047643648</v>
      </c>
      <c r="AW53">
        <v>2</v>
      </c>
      <c r="AX53">
        <v>7</v>
      </c>
      <c r="AY53" s="10">
        <f>G27</f>
        <v>13.61</v>
      </c>
      <c r="AZ53" s="10">
        <f>AT27</f>
        <v>13.625649919648916</v>
      </c>
      <c r="BA53" s="10">
        <f t="shared" si="2"/>
        <v>0.01564991964891682</v>
      </c>
      <c r="BB53" s="24">
        <f t="shared" si="3"/>
        <v>0.0002449199850175528</v>
      </c>
      <c r="BC53" s="10">
        <f t="shared" si="4"/>
        <v>0.0007824959824458411</v>
      </c>
    </row>
    <row r="54" spans="24:55" ht="12.75">
      <c r="X54" s="16"/>
      <c r="AW54">
        <v>3</v>
      </c>
      <c r="AX54">
        <v>2</v>
      </c>
      <c r="AY54" s="10">
        <f aca="true" t="shared" si="27" ref="AY54:AY59">B35</f>
        <v>3.35</v>
      </c>
      <c r="AZ54" s="10">
        <f aca="true" t="shared" si="28" ref="AZ54:AZ59">AO35</f>
        <v>3.5459168694814336</v>
      </c>
      <c r="BA54" s="10">
        <f t="shared" si="2"/>
        <v>0.1959168694814335</v>
      </c>
      <c r="BB54" s="24">
        <f t="shared" si="3"/>
        <v>0.03838341974740505</v>
      </c>
      <c r="BC54" s="10">
        <f t="shared" si="4"/>
        <v>0.009795843474071675</v>
      </c>
    </row>
    <row r="55" spans="1:55" ht="12.75">
      <c r="A55" s="2" t="s">
        <v>48</v>
      </c>
      <c r="F55" t="s">
        <v>30</v>
      </c>
      <c r="G55">
        <v>20</v>
      </c>
      <c r="O55" s="18" t="s">
        <v>22</v>
      </c>
      <c r="P55" s="20">
        <f>AVERAGE(S61:S65)*$G$55</f>
        <v>7.296433213811071</v>
      </c>
      <c r="Q55" s="8" t="s">
        <v>24</v>
      </c>
      <c r="R55">
        <f>P55/$G$55</f>
        <v>0.36482166069055355</v>
      </c>
      <c r="T55" s="19">
        <f>(P56-1)/(R55^2-R55)</f>
        <v>2.0975140501710383</v>
      </c>
      <c r="U55" s="18" t="s">
        <v>20</v>
      </c>
      <c r="V55" s="19">
        <v>0</v>
      </c>
      <c r="X55" s="23"/>
      <c r="Y55" s="11"/>
      <c r="Z55" s="4" t="s">
        <v>32</v>
      </c>
      <c r="AA55" s="4" t="s">
        <v>33</v>
      </c>
      <c r="AB55" s="4" t="s">
        <v>34</v>
      </c>
      <c r="AC55" s="4" t="s">
        <v>35</v>
      </c>
      <c r="AD55" s="4" t="s">
        <v>36</v>
      </c>
      <c r="AW55">
        <v>3</v>
      </c>
      <c r="AX55">
        <v>3</v>
      </c>
      <c r="AY55" s="10">
        <f t="shared" si="27"/>
        <v>1.22</v>
      </c>
      <c r="AZ55" s="10">
        <f t="shared" si="28"/>
        <v>0.9293611659507075</v>
      </c>
      <c r="BA55" s="10">
        <f t="shared" si="2"/>
        <v>-0.29063883404929247</v>
      </c>
      <c r="BB55" s="24">
        <f t="shared" si="3"/>
        <v>0.08447093185753217</v>
      </c>
      <c r="BC55" s="10">
        <f t="shared" si="4"/>
        <v>-0.014531941702464624</v>
      </c>
    </row>
    <row r="56" spans="1:5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2" t="s">
        <v>23</v>
      </c>
      <c r="P56" s="3">
        <f>Q60/P55</f>
        <v>0.5139497464188124</v>
      </c>
      <c r="Q56" s="12"/>
      <c r="R56" s="3"/>
      <c r="S56" s="3"/>
      <c r="T56" s="3"/>
      <c r="U56" s="17" t="s">
        <v>21</v>
      </c>
      <c r="V56" s="13">
        <f>SUM(V61:V65)</f>
        <v>188.33509162532195</v>
      </c>
      <c r="W56" s="19"/>
      <c r="Y56" s="21" t="s">
        <v>37</v>
      </c>
      <c r="Z56">
        <f>-2</f>
        <v>-2</v>
      </c>
      <c r="AA56">
        <f>-2*$G$55-4*Y60</f>
        <v>-80.13743417286057</v>
      </c>
      <c r="AB56">
        <f>-2*$G$55*Y60-4*$G$55*Y61-8*Y60*Y61</f>
        <v>-963.5388323350007</v>
      </c>
      <c r="AC56">
        <f>-2*$G$55*Y60*Y61-4*$G$55*Y60*Y62-8*$G$55*Y61*Y62-16*Y60*Y61*Y62</f>
        <v>-4513.009852525542</v>
      </c>
      <c r="AD56">
        <f>-2*$G$55*Y60*Y61*Y62-4*$G$55*Y60*Y61*Y63-8*$G$55*Y60*Y62*Y63-16*$G$55*Y61*Y62*Y63-32*Y60*Y61*Y62*Y63</f>
        <v>-8850.576705015408</v>
      </c>
      <c r="AE56" s="19"/>
      <c r="AM56" s="19"/>
      <c r="AN56" s="3"/>
      <c r="AO56" s="3"/>
      <c r="AP56" s="3"/>
      <c r="AQ56" s="3"/>
      <c r="AR56" s="3"/>
      <c r="AS56" s="3"/>
      <c r="AT56" s="3"/>
      <c r="AW56">
        <v>3</v>
      </c>
      <c r="AX56">
        <v>4</v>
      </c>
      <c r="AY56" s="10">
        <f t="shared" si="27"/>
        <v>2.46</v>
      </c>
      <c r="AZ56" s="10">
        <f t="shared" si="28"/>
        <v>2.4709916415859148</v>
      </c>
      <c r="BA56" s="10">
        <f t="shared" si="2"/>
        <v>0.010991641585914813</v>
      </c>
      <c r="BB56" s="24">
        <f t="shared" si="3"/>
        <v>0.0001208161847532119</v>
      </c>
      <c r="BC56" s="10">
        <f t="shared" si="4"/>
        <v>0.0005495820792957406</v>
      </c>
    </row>
    <row r="57" spans="24:55" ht="12.75">
      <c r="X57" s="4"/>
      <c r="Y57" s="21" t="s">
        <v>38</v>
      </c>
      <c r="Z57">
        <f>2*P60-$G$55-P61</f>
        <v>-12.32</v>
      </c>
      <c r="AA57">
        <f>2*P60*$G$55+4*P60*Y60-P62*Y60-2*$G$55*Y60-$G$55*Y60-4*Y60^2</f>
        <v>-74.55528397608867</v>
      </c>
      <c r="AB57">
        <f>2*P60*$G$55*Y60-2*$G$55*Y60^2+4*P60*$G$55*Y61+8*P60*Y60*Y61-P63*Y60*Y61-4*$G$55*Y60*Y61-2*$G$55*Y60*Y61-$G$55*Y60*Y61-8*Y60^2*Y61-4*$G$55*Y61^2-8*Y60*Y61^2</f>
        <v>369.5531384984615</v>
      </c>
      <c r="AC57">
        <f>2*P60*$G$55*Y60*Y61-2*$G$55*Y60^2*Y61-2*$G$55*Y60*Y61^2+4*P60*$G$55*Y60*Y62-4*$G$55*Y60^2*Y62+8*P60*$G$55*Y61*Y62+16*P60*Y60*Y61*Y62-P64*Y60*Y61*Y62-8*$G$55*Y60*Y61*Y62-4*$G$55*Y60*Y61*Y62-2*$G$55*Y60*Y61*Y62-$G$55*Y60*Y61*Y62-16*Y60^2*Y61*Y62-8*$G$55*Y61^2*Y62-16*Y60*Y61^2*Y62-4*$G$55*Y60*Y62^2-8*$G$55*Y61*Y62^2-16*Y60*Y61*Y62^2</f>
        <v>1585.1053855188895</v>
      </c>
      <c r="AD57">
        <f>2*P60*$G$55*Y60*Y61*Y62-2*$G$55*Y60^2*Y61*Y62-2*$G$55*Y60*Y61^2*Y62-2*$G$55*Y60*Y61*Y62^2+4*P60*$G$55*Y60*Y61*Y63-4*$G$55*Y60^2*Y61*Y63-4*$G$55*Y60*Y61^2*Y63+8*P60*$G$55*Y60*Y62*Y63-8*$G$55*Y60^2*Y62*Y63+16*P60*$G$55*Y61*Y62*Y63+32*P60*Y60*Y61*Y62*Y63-P65*Y60*Y61*Y62*Y63-16*$G$55*Y60*Y61*Y62*Y63-8*$G$55*Y60*Y61*Y62*Y63-4*$G$55*Y60*Y61*Y62*Y63-2*$G$55*Y60*Y61*Y62*Y63-$G$55*Y60*Y61*Y62*Y63-32*Y60^2*Y61*Y62*Y63-16*$G$55*Y61^2*Y62*Y63-32*Y60*Y61^2*Y62*Y63-8*$G$55*Y60*Y62^2*Y63-16*$G$55*Y61*Y62^2*Y63-32*Y60*Y61*Y62^2*Y63-4*$G$55*Y60*Y61*Y63^2-8*$G$55*Y60*Y62*Y63^2-16*$G$55*Y61*Y62*Y63^2-32*Y60*Y61*Y62*Y63^2</f>
        <v>710.504772465687</v>
      </c>
      <c r="AW57">
        <v>3</v>
      </c>
      <c r="AX57">
        <v>5</v>
      </c>
      <c r="AY57" s="10">
        <f t="shared" si="27"/>
        <v>2.94</v>
      </c>
      <c r="AZ57" s="10">
        <f t="shared" si="28"/>
        <v>2.809441150547368</v>
      </c>
      <c r="BA57" s="10">
        <f t="shared" si="2"/>
        <v>-0.13055884945263196</v>
      </c>
      <c r="BB57" s="24">
        <f t="shared" si="3"/>
        <v>0.01704561317039502</v>
      </c>
      <c r="BC57" s="10">
        <f t="shared" si="4"/>
        <v>-0.006527942472631598</v>
      </c>
    </row>
    <row r="58" spans="1:55" ht="15.75">
      <c r="A58" s="4" t="s">
        <v>1</v>
      </c>
      <c r="B58" s="5" t="s">
        <v>2</v>
      </c>
      <c r="C58" s="5"/>
      <c r="D58" s="5"/>
      <c r="E58" s="5"/>
      <c r="F58" s="5"/>
      <c r="G58" s="5"/>
      <c r="H58" s="6"/>
      <c r="I58" s="5" t="s">
        <v>3</v>
      </c>
      <c r="J58" s="5"/>
      <c r="K58" s="5"/>
      <c r="L58" s="5"/>
      <c r="M58" s="5"/>
      <c r="N58" s="5"/>
      <c r="O58" s="4" t="s">
        <v>4</v>
      </c>
      <c r="P58" s="4" t="s">
        <v>14</v>
      </c>
      <c r="Q58" s="4" t="s">
        <v>5</v>
      </c>
      <c r="R58" s="4" t="s">
        <v>40</v>
      </c>
      <c r="S58" s="4" t="s">
        <v>42</v>
      </c>
      <c r="T58" s="4" t="s">
        <v>16</v>
      </c>
      <c r="U58" s="4" t="s">
        <v>15</v>
      </c>
      <c r="V58" s="4"/>
      <c r="W58" s="4"/>
      <c r="Y58" s="21" t="s">
        <v>39</v>
      </c>
      <c r="Z58">
        <f>$G$55*P60</f>
        <v>325</v>
      </c>
      <c r="AA58">
        <f>P60*$G$55*Y60-$G$55*Y60^2</f>
        <v>1247.399499069027</v>
      </c>
      <c r="AB58">
        <f>P60*$G$55*Y60*Y61-$G$55*Y60^2*Y61-$G$55*Y60*Y61^2</f>
        <v>1906.2881445327089</v>
      </c>
      <c r="AC58">
        <f>P60*$G$55*Y60*Y61*Y62-$G$55*Y60^2*Y61*Y62-$G$55*Y60*Y61^2*Y62-$G$55*Y60*Y61*Y62^2</f>
        <v>1244.0307351219224</v>
      </c>
      <c r="AD58">
        <f>P60*$G$55*Y60*Y61*Y62*Y63-$G$55*Y60^2*Y61*Y62*Y63-$G$55*Y60*Y61^2*Y62*Y63-$G$55*Y60*Y61*Y62^2*Y63-$G$55*Y60*Y61*Y62*Y63^2</f>
        <v>304.01852476964757</v>
      </c>
      <c r="AE58" s="4"/>
      <c r="AM58" s="4"/>
      <c r="AN58" s="4" t="s">
        <v>1</v>
      </c>
      <c r="AO58" s="5" t="s">
        <v>31</v>
      </c>
      <c r="AP58" s="5"/>
      <c r="AQ58" s="5"/>
      <c r="AR58" s="5"/>
      <c r="AS58" s="5"/>
      <c r="AT58" s="5"/>
      <c r="AW58">
        <v>3</v>
      </c>
      <c r="AX58">
        <v>6</v>
      </c>
      <c r="AY58" s="10">
        <f t="shared" si="27"/>
        <v>0.27</v>
      </c>
      <c r="AZ58" s="10">
        <f t="shared" si="28"/>
        <v>1.518962232477322</v>
      </c>
      <c r="BA58" s="10">
        <f t="shared" si="2"/>
        <v>1.248962232477322</v>
      </c>
      <c r="BB58" s="24">
        <f t="shared" si="3"/>
        <v>1.559906658154736</v>
      </c>
      <c r="BC58" s="10">
        <f t="shared" si="4"/>
        <v>0.0624481116238661</v>
      </c>
    </row>
    <row r="59" spans="1:55" ht="12.75">
      <c r="A59" s="7" t="s">
        <v>6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/>
      <c r="I59" s="7" t="s">
        <v>7</v>
      </c>
      <c r="J59" s="7" t="s">
        <v>8</v>
      </c>
      <c r="K59" s="7" t="s">
        <v>9</v>
      </c>
      <c r="L59" s="7" t="s">
        <v>10</v>
      </c>
      <c r="M59" s="7" t="s">
        <v>11</v>
      </c>
      <c r="N59" s="7" t="s">
        <v>12</v>
      </c>
      <c r="O59" s="7"/>
      <c r="P59" s="7"/>
      <c r="Q59" s="7" t="s">
        <v>41</v>
      </c>
      <c r="R59" s="7" t="s">
        <v>41</v>
      </c>
      <c r="S59" s="7" t="s">
        <v>41</v>
      </c>
      <c r="T59" s="7"/>
      <c r="U59" s="7" t="s">
        <v>41</v>
      </c>
      <c r="V59" s="7" t="s">
        <v>19</v>
      </c>
      <c r="W59" s="15"/>
      <c r="X59" s="4" t="s">
        <v>17</v>
      </c>
      <c r="Y59" s="4">
        <v>1</v>
      </c>
      <c r="Z59" s="15">
        <v>2</v>
      </c>
      <c r="AA59" s="15">
        <v>3</v>
      </c>
      <c r="AB59" s="15">
        <v>4</v>
      </c>
      <c r="AC59" s="15">
        <v>5</v>
      </c>
      <c r="AD59" s="15">
        <v>6</v>
      </c>
      <c r="AE59" s="15"/>
      <c r="AF59" s="4" t="s">
        <v>17</v>
      </c>
      <c r="AG59" s="4">
        <v>1</v>
      </c>
      <c r="AH59" s="15">
        <v>2</v>
      </c>
      <c r="AI59" s="15">
        <v>3</v>
      </c>
      <c r="AJ59" s="15">
        <v>4</v>
      </c>
      <c r="AK59" s="15">
        <v>5</v>
      </c>
      <c r="AL59" s="15">
        <v>6</v>
      </c>
      <c r="AM59" s="15"/>
      <c r="AN59" s="7" t="s">
        <v>6</v>
      </c>
      <c r="AO59" s="7" t="s">
        <v>7</v>
      </c>
      <c r="AP59" s="7" t="s">
        <v>8</v>
      </c>
      <c r="AQ59" s="7" t="s">
        <v>9</v>
      </c>
      <c r="AR59" s="7" t="s">
        <v>10</v>
      </c>
      <c r="AS59" s="7" t="s">
        <v>11</v>
      </c>
      <c r="AT59" s="7" t="s">
        <v>12</v>
      </c>
      <c r="AW59">
        <v>3</v>
      </c>
      <c r="AX59">
        <v>7</v>
      </c>
      <c r="AY59" s="10">
        <f t="shared" si="27"/>
        <v>3.63</v>
      </c>
      <c r="AZ59" s="10">
        <f t="shared" si="28"/>
        <v>2.5953269399572543</v>
      </c>
      <c r="BA59" s="10">
        <f t="shared" si="2"/>
        <v>-1.0346730600427456</v>
      </c>
      <c r="BB59" s="24">
        <f t="shared" si="3"/>
        <v>1.070548341178219</v>
      </c>
      <c r="BC59" s="10">
        <f t="shared" si="4"/>
        <v>-0.05173365300213728</v>
      </c>
    </row>
    <row r="60" spans="1:55" ht="12.75">
      <c r="A60" s="8" t="s">
        <v>7</v>
      </c>
      <c r="B60" s="25">
        <v>3.75</v>
      </c>
      <c r="C60" s="26"/>
      <c r="D60" s="26"/>
      <c r="E60" s="26"/>
      <c r="F60" s="26"/>
      <c r="G60" s="26"/>
      <c r="H60" s="10"/>
      <c r="I60" s="9">
        <v>0.19</v>
      </c>
      <c r="J60" s="10"/>
      <c r="K60" s="10"/>
      <c r="L60" s="10"/>
      <c r="M60" s="10"/>
      <c r="N60" s="10"/>
      <c r="O60" s="11">
        <f>B60</f>
        <v>3.75</v>
      </c>
      <c r="P60" s="11">
        <f>$G$55-O60</f>
        <v>16.25</v>
      </c>
      <c r="Q60" s="11">
        <f>$B60</f>
        <v>3.75</v>
      </c>
      <c r="R60" s="11">
        <f>20-Y66</f>
        <v>3.75</v>
      </c>
      <c r="S60" s="11">
        <f aca="true" t="shared" si="29" ref="S60:S65">R60/$G$55</f>
        <v>0.1875</v>
      </c>
      <c r="T60" s="11">
        <f aca="true" t="shared" si="30" ref="T60:T65">Q60/R60</f>
        <v>1</v>
      </c>
      <c r="U60" s="11">
        <f>AG66</f>
        <v>16.25</v>
      </c>
      <c r="V60" s="11"/>
      <c r="W60" s="11"/>
      <c r="X60" s="4">
        <v>2</v>
      </c>
      <c r="Y60" s="10">
        <f>(-Z57-SQRT(Z57^2-4*Z56*Z58))/(2*Z56)</f>
        <v>10.034358543215143</v>
      </c>
      <c r="Z60" s="11"/>
      <c r="AA60" s="11"/>
      <c r="AB60" s="11"/>
      <c r="AC60" s="11"/>
      <c r="AD60" s="11"/>
      <c r="AE60" s="11"/>
      <c r="AF60" s="4">
        <v>2</v>
      </c>
      <c r="AG60" s="10">
        <f aca="true" t="shared" si="31" ref="AG60:AG66">Y60</f>
        <v>10.034358543215143</v>
      </c>
      <c r="AH60" s="10"/>
      <c r="AI60" s="10"/>
      <c r="AJ60" s="10"/>
      <c r="AK60" s="10"/>
      <c r="AL60" s="10"/>
      <c r="AM60" s="11"/>
      <c r="AN60" s="8" t="s">
        <v>7</v>
      </c>
      <c r="AO60" s="9">
        <f>$G$3-AG60-AG61-AG62-AG63-AG64-AG65</f>
        <v>3.7500000000000004</v>
      </c>
      <c r="AP60" s="10"/>
      <c r="AQ60" s="10"/>
      <c r="AR60" s="10"/>
      <c r="AS60" s="10"/>
      <c r="AT60" s="10"/>
      <c r="AW60">
        <v>3</v>
      </c>
      <c r="AX60">
        <v>2</v>
      </c>
      <c r="AY60" s="10">
        <f aca="true" t="shared" si="32" ref="AY60:AY65">C35</f>
        <v>8.34</v>
      </c>
      <c r="AZ60" s="10">
        <f aca="true" t="shared" si="33" ref="AZ60:AZ65">AP35</f>
        <v>8.14408313051856</v>
      </c>
      <c r="BA60" s="10">
        <f t="shared" si="2"/>
        <v>-0.19591686948144016</v>
      </c>
      <c r="BB60" s="24">
        <f t="shared" si="3"/>
        <v>0.03838341974740766</v>
      </c>
      <c r="BC60" s="10">
        <f t="shared" si="4"/>
        <v>-0.009795843474072008</v>
      </c>
    </row>
    <row r="61" spans="1:55" ht="12.75">
      <c r="A61" s="8" t="s">
        <v>8</v>
      </c>
      <c r="B61" s="26">
        <v>4.3</v>
      </c>
      <c r="C61" s="25">
        <v>7.13</v>
      </c>
      <c r="D61" s="26"/>
      <c r="E61" s="26"/>
      <c r="F61" s="26"/>
      <c r="G61" s="26"/>
      <c r="H61" s="10"/>
      <c r="I61" s="10">
        <v>0.04</v>
      </c>
      <c r="J61" s="9">
        <v>0.73</v>
      </c>
      <c r="K61" s="10"/>
      <c r="L61" s="10"/>
      <c r="M61" s="10"/>
      <c r="N61" s="10"/>
      <c r="O61" s="11">
        <f>SUM(B61:C61)</f>
        <v>11.43</v>
      </c>
      <c r="P61" s="11">
        <f>P60+$G$55-O61</f>
        <v>24.82</v>
      </c>
      <c r="Q61" s="11">
        <f>C61</f>
        <v>7.13</v>
      </c>
      <c r="R61" s="11">
        <f>20-Z66</f>
        <v>7.611282913569717</v>
      </c>
      <c r="S61" s="11">
        <f t="shared" si="29"/>
        <v>0.38056414567848584</v>
      </c>
      <c r="T61" s="11">
        <f t="shared" si="30"/>
        <v>0.9367671759104282</v>
      </c>
      <c r="U61" s="11">
        <f>AH66</f>
        <v>12.388717086430283</v>
      </c>
      <c r="V61" s="11">
        <f>(U61-Q61)^2</f>
        <v>27.654105395113806</v>
      </c>
      <c r="W61" s="11"/>
      <c r="X61" s="4">
        <v>3</v>
      </c>
      <c r="Y61" s="10">
        <f>(-AA57-SQRT(AA57^2-4*AA56*AA58))/(2*AA56)</f>
        <v>3.507502432594593</v>
      </c>
      <c r="Z61" s="10">
        <f>$G$55*Y61/Y60</f>
        <v>6.990984859647526</v>
      </c>
      <c r="AA61" s="11"/>
      <c r="AB61" s="11"/>
      <c r="AC61" s="11"/>
      <c r="AD61" s="11"/>
      <c r="AE61" s="11"/>
      <c r="AF61" s="4">
        <v>3</v>
      </c>
      <c r="AG61" s="10">
        <f t="shared" si="31"/>
        <v>3.507502432594593</v>
      </c>
      <c r="AH61" s="10">
        <f>Z61-(Z61*(Z66-AH66)/Z66)</f>
        <v>6.990984859647526</v>
      </c>
      <c r="AI61" s="10"/>
      <c r="AJ61" s="10"/>
      <c r="AK61" s="10"/>
      <c r="AL61" s="10"/>
      <c r="AM61" s="11"/>
      <c r="AN61" s="8" t="s">
        <v>8</v>
      </c>
      <c r="AO61" s="10">
        <f>AG60-AG61-AG62-AG63-AG64-AG65</f>
        <v>3.818717086430287</v>
      </c>
      <c r="AP61" s="9">
        <f>$G$3-AH61-AH62-AH63-AH64-AH65</f>
        <v>7.611282913569717</v>
      </c>
      <c r="AQ61" s="10"/>
      <c r="AR61" s="10"/>
      <c r="AS61" s="10"/>
      <c r="AT61" s="10"/>
      <c r="AU61" s="10">
        <f>AP61-C61</f>
        <v>0.481282913569717</v>
      </c>
      <c r="AV61" s="10">
        <f>AU61^2</f>
        <v>0.23163324289415566</v>
      </c>
      <c r="AW61">
        <v>3</v>
      </c>
      <c r="AX61">
        <v>3</v>
      </c>
      <c r="AY61" s="10">
        <f t="shared" si="32"/>
        <v>2.22</v>
      </c>
      <c r="AZ61" s="10">
        <f t="shared" si="33"/>
        <v>1.0672549403118274</v>
      </c>
      <c r="BA61" s="10">
        <f t="shared" si="2"/>
        <v>-1.1527450596881728</v>
      </c>
      <c r="BB61" s="24">
        <f t="shared" si="3"/>
        <v>1.328821172635489</v>
      </c>
      <c r="BC61" s="10">
        <f t="shared" si="4"/>
        <v>-0.05763725298440864</v>
      </c>
    </row>
    <row r="62" spans="1:55" ht="12.75">
      <c r="A62" s="8" t="s">
        <v>9</v>
      </c>
      <c r="B62" s="26">
        <v>0.92</v>
      </c>
      <c r="C62" s="26">
        <v>1.24</v>
      </c>
      <c r="D62" s="25">
        <v>5.59</v>
      </c>
      <c r="E62" s="26"/>
      <c r="F62" s="26"/>
      <c r="G62" s="26"/>
      <c r="H62" s="10"/>
      <c r="I62" s="10">
        <v>0</v>
      </c>
      <c r="J62" s="10">
        <v>0.03</v>
      </c>
      <c r="K62" s="9">
        <v>1.07</v>
      </c>
      <c r="L62" s="10"/>
      <c r="M62" s="10"/>
      <c r="N62" s="10"/>
      <c r="O62" s="11">
        <f>SUM(B62:D62)</f>
        <v>7.75</v>
      </c>
      <c r="P62" s="11">
        <f>P61+$G$55-O62</f>
        <v>37.07</v>
      </c>
      <c r="Q62" s="11">
        <f>D62</f>
        <v>5.59</v>
      </c>
      <c r="R62" s="11">
        <f>20-AA66</f>
        <v>4.558020550326571</v>
      </c>
      <c r="S62" s="11">
        <f t="shared" si="29"/>
        <v>0.22790102751632854</v>
      </c>
      <c r="T62" s="11">
        <f t="shared" si="30"/>
        <v>1.2264095649150792</v>
      </c>
      <c r="U62" s="11">
        <f>AI66</f>
        <v>15.441979449673429</v>
      </c>
      <c r="V62" s="11">
        <f>(U62-Q62)^2</f>
        <v>97.06149907678757</v>
      </c>
      <c r="W62" s="11"/>
      <c r="X62" s="4">
        <v>4</v>
      </c>
      <c r="Y62" s="10">
        <f>(-AB57-SQRT(AB57^2-4*AB56*AB58))/(2*AB56)</f>
        <v>1.6113457332105736</v>
      </c>
      <c r="Z62" s="10">
        <f>Z61*Y62/Y61</f>
        <v>3.2116566819313137</v>
      </c>
      <c r="AA62" s="10">
        <f>$G$55*Y62/Y61</f>
        <v>9.18799495753232</v>
      </c>
      <c r="AB62" s="11"/>
      <c r="AC62" s="11"/>
      <c r="AD62" s="11"/>
      <c r="AE62" s="11"/>
      <c r="AF62" s="4">
        <v>4</v>
      </c>
      <c r="AG62" s="10">
        <f t="shared" si="31"/>
        <v>1.6113457332105736</v>
      </c>
      <c r="AH62" s="10">
        <f>Z62-(Z62*(Z66-AH66)/Z66)</f>
        <v>3.2116566819313137</v>
      </c>
      <c r="AI62" s="10">
        <f>AA62-(AA62*(AA66-AI66)/AA66)</f>
        <v>9.18799495753232</v>
      </c>
      <c r="AJ62" s="10"/>
      <c r="AK62" s="10"/>
      <c r="AL62" s="10"/>
      <c r="AM62" s="11"/>
      <c r="AN62" s="8" t="s">
        <v>9</v>
      </c>
      <c r="AO62" s="10">
        <f>2*(AG61-AG62-AG63-AG64-AG65)</f>
        <v>1.5987268168086588</v>
      </c>
      <c r="AP62" s="10">
        <f>AH61-AH62-AH63-AH64-AH65</f>
        <v>1.593252632864766</v>
      </c>
      <c r="AQ62" s="9">
        <f>$G$3-AI62-AI63-AI64-AI65</f>
        <v>4.558020550326572</v>
      </c>
      <c r="AR62" s="10"/>
      <c r="AS62" s="10"/>
      <c r="AT62" s="10"/>
      <c r="AU62" s="10">
        <f>AQ62-D62</f>
        <v>-1.031979449673428</v>
      </c>
      <c r="AV62" s="10">
        <f>AU62^2</f>
        <v>1.0649815845482713</v>
      </c>
      <c r="AW62">
        <v>3</v>
      </c>
      <c r="AX62">
        <v>4</v>
      </c>
      <c r="AY62" s="10">
        <f t="shared" si="32"/>
        <v>2.16</v>
      </c>
      <c r="AZ62" s="10">
        <f t="shared" si="33"/>
        <v>2.8376245248574032</v>
      </c>
      <c r="BA62" s="10">
        <f t="shared" si="2"/>
        <v>0.6776245248574031</v>
      </c>
      <c r="BB62" s="24">
        <f t="shared" si="3"/>
        <v>0.4591749966882213</v>
      </c>
      <c r="BC62" s="10">
        <f t="shared" si="4"/>
        <v>0.033881226242870155</v>
      </c>
    </row>
    <row r="63" spans="1:55" ht="12.75">
      <c r="A63" s="8" t="s">
        <v>10</v>
      </c>
      <c r="B63" s="26">
        <v>1.74</v>
      </c>
      <c r="C63" s="26">
        <v>1.44</v>
      </c>
      <c r="D63" s="26">
        <v>2.47</v>
      </c>
      <c r="E63" s="25">
        <v>7.78</v>
      </c>
      <c r="F63" s="26"/>
      <c r="G63" s="26"/>
      <c r="H63" s="10"/>
      <c r="I63" s="10">
        <v>0.07</v>
      </c>
      <c r="J63" s="10">
        <v>0.03</v>
      </c>
      <c r="K63" s="10">
        <v>0.18</v>
      </c>
      <c r="L63" s="9">
        <v>2.33</v>
      </c>
      <c r="M63" s="10"/>
      <c r="N63" s="10"/>
      <c r="O63" s="11">
        <f>SUM(B63:E63)</f>
        <v>13.43</v>
      </c>
      <c r="P63" s="11">
        <f>P62+$G$55-O63</f>
        <v>43.64</v>
      </c>
      <c r="Q63" s="11">
        <f>E63</f>
        <v>7.78</v>
      </c>
      <c r="R63" s="11">
        <f>20-AB66</f>
        <v>6.386617491525524</v>
      </c>
      <c r="S63" s="11">
        <f t="shared" si="29"/>
        <v>0.3193308745762762</v>
      </c>
      <c r="T63" s="11">
        <f t="shared" si="30"/>
        <v>1.2181722187563875</v>
      </c>
      <c r="U63" s="11">
        <f>AJ66</f>
        <v>13.613382508474476</v>
      </c>
      <c r="V63" s="11">
        <f>(U63-Q63)^2</f>
        <v>34.02835149017597</v>
      </c>
      <c r="W63" s="11"/>
      <c r="X63" s="4">
        <v>5</v>
      </c>
      <c r="Y63" s="10">
        <f>(-AC57-SQRT(AC57^2-4*AC56*AC58))/(2*AC56)</f>
        <v>0.7292350100256518</v>
      </c>
      <c r="Z63" s="10">
        <f>$G$55*Y63/Y60</f>
        <v>1.4534760879532918</v>
      </c>
      <c r="AA63" s="10">
        <f>$G$55*Y63/Y61</f>
        <v>4.158144001549371</v>
      </c>
      <c r="AB63" s="10">
        <f>$G$55*Y63/Y62</f>
        <v>9.051254426604848</v>
      </c>
      <c r="AC63" s="11"/>
      <c r="AD63" s="11"/>
      <c r="AE63" s="11"/>
      <c r="AF63" s="4">
        <v>5</v>
      </c>
      <c r="AG63" s="10">
        <f t="shared" si="31"/>
        <v>0.7292350100256518</v>
      </c>
      <c r="AH63" s="10">
        <f>Z63-(Z63*(Z66-AH66)/Z66)</f>
        <v>1.4534760879532918</v>
      </c>
      <c r="AI63" s="10">
        <f>AA63-(AA63*(AA66-AI66)/AA66)</f>
        <v>4.158144001549371</v>
      </c>
      <c r="AJ63" s="10">
        <f>AB63-(AB63*(AB66-AJ66)/AB66)</f>
        <v>9.051254426604848</v>
      </c>
      <c r="AK63" s="10"/>
      <c r="AL63" s="10"/>
      <c r="AM63" s="11"/>
      <c r="AN63" s="8" t="s">
        <v>10</v>
      </c>
      <c r="AO63" s="10">
        <f>4*(AG62-AG63-AG64-AG65)</f>
        <v>2.0582097689235344</v>
      </c>
      <c r="AP63" s="10">
        <f>2*(AH62-AH63-AH64-AH65)</f>
        <v>2.051162274159736</v>
      </c>
      <c r="AQ63" s="10">
        <f>AI62-AI63-AI64-AI65</f>
        <v>2.9340104653912116</v>
      </c>
      <c r="AR63" s="9">
        <f>$G$3-AJ63-AJ64-AJ65</f>
        <v>6.386617491525524</v>
      </c>
      <c r="AS63" s="10"/>
      <c r="AT63" s="10"/>
      <c r="AU63" s="10">
        <f>AR63-E63</f>
        <v>-1.3933825084744766</v>
      </c>
      <c r="AV63" s="10">
        <f>AU63^2</f>
        <v>1.941514814922625</v>
      </c>
      <c r="AW63">
        <v>3</v>
      </c>
      <c r="AX63">
        <v>5</v>
      </c>
      <c r="AY63" s="10">
        <f t="shared" si="32"/>
        <v>2.64</v>
      </c>
      <c r="AZ63" s="10">
        <f t="shared" si="33"/>
        <v>3.22629141101432</v>
      </c>
      <c r="BA63" s="10">
        <f t="shared" si="2"/>
        <v>0.58629141101432</v>
      </c>
      <c r="BB63" s="24">
        <f t="shared" si="3"/>
        <v>0.34373761862916236</v>
      </c>
      <c r="BC63" s="10">
        <f t="shared" si="4"/>
        <v>0.029314570550716002</v>
      </c>
    </row>
    <row r="64" spans="1:55" ht="12.75">
      <c r="A64" s="8" t="s">
        <v>11</v>
      </c>
      <c r="B64" s="26">
        <v>2.65</v>
      </c>
      <c r="C64" s="26">
        <v>2.53</v>
      </c>
      <c r="D64" s="26">
        <v>2.85</v>
      </c>
      <c r="E64" s="26">
        <v>5.93</v>
      </c>
      <c r="F64" s="25">
        <v>10.35</v>
      </c>
      <c r="G64" s="26"/>
      <c r="H64" s="10"/>
      <c r="I64" s="10">
        <v>0.07</v>
      </c>
      <c r="J64" s="10">
        <v>0.09</v>
      </c>
      <c r="K64" s="10">
        <v>0.18</v>
      </c>
      <c r="L64" s="10">
        <v>0.26</v>
      </c>
      <c r="M64" s="9">
        <v>2.89</v>
      </c>
      <c r="N64" s="10"/>
      <c r="O64" s="11">
        <f>SUM(B64:F64)</f>
        <v>24.31</v>
      </c>
      <c r="P64" s="11">
        <f>P63+$G$55-O64</f>
        <v>39.33</v>
      </c>
      <c r="Q64" s="11">
        <f>F64</f>
        <v>10.35</v>
      </c>
      <c r="R64" s="11">
        <f>20-AC66</f>
        <v>9.919346276556062</v>
      </c>
      <c r="S64" s="11">
        <f t="shared" si="29"/>
        <v>0.4959673138278031</v>
      </c>
      <c r="T64" s="11">
        <f t="shared" si="30"/>
        <v>1.0434155347980711</v>
      </c>
      <c r="U64" s="11">
        <f>AK66</f>
        <v>10.080653723443938</v>
      </c>
      <c r="V64" s="11">
        <f>(U64-Q64)^2</f>
        <v>0.0725474166946147</v>
      </c>
      <c r="W64" s="11"/>
      <c r="X64" s="4">
        <v>6</v>
      </c>
      <c r="Y64" s="10">
        <f>(-AD57-SQRT(AD57^2-4*AD56*AD58))/(2*AD56)</f>
        <v>0.2297734621487768</v>
      </c>
      <c r="Z64" s="11">
        <f>Z63*Y64/Y63</f>
        <v>0.45797339443115875</v>
      </c>
      <c r="AA64" s="11">
        <f>AA63*Y64/Y63</f>
        <v>1.310182767165223</v>
      </c>
      <c r="AB64" s="11">
        <f>AB63*Y64/Y63</f>
        <v>2.851944898143713</v>
      </c>
      <c r="AC64" s="11">
        <f>$G$55*Y64/Y63</f>
        <v>6.301767166683185</v>
      </c>
      <c r="AD64" s="11"/>
      <c r="AE64" s="11"/>
      <c r="AF64" s="4">
        <v>6</v>
      </c>
      <c r="AG64" s="10">
        <f t="shared" si="31"/>
        <v>0.2297734621487768</v>
      </c>
      <c r="AH64" s="10">
        <f>Z64-(Z64*(Z66-AH66)/Z66)</f>
        <v>0.45797339443115875</v>
      </c>
      <c r="AI64" s="10">
        <f>AA64-(AA64*(AA66-AI66)/AA66)</f>
        <v>1.310182767165223</v>
      </c>
      <c r="AJ64" s="10">
        <f>AB64-(AB64*(AB66-AJ66)/AB66)</f>
        <v>2.851944898143713</v>
      </c>
      <c r="AK64" s="10">
        <f>AC64-(AC64*(AC66-AK66)/AC66)</f>
        <v>6.301767166683185</v>
      </c>
      <c r="AL64" s="10"/>
      <c r="AM64" s="11"/>
      <c r="AN64" s="8" t="s">
        <v>11</v>
      </c>
      <c r="AO64" s="10">
        <f>8*(AG63-AG64-AG65)</f>
        <v>2.893413832572909</v>
      </c>
      <c r="AP64" s="10">
        <f>4*(AH63-AH64-AH65)</f>
        <v>2.883506524220551</v>
      </c>
      <c r="AQ64" s="10">
        <f>2*(AI63-AI64-AI65)</f>
        <v>4.124607021915269</v>
      </c>
      <c r="AR64" s="10">
        <f>AJ63-AJ64-AJ65</f>
        <v>4.489126344735219</v>
      </c>
      <c r="AS64" s="9">
        <f>$G$3-AK64-AK65</f>
        <v>9.919346276556064</v>
      </c>
      <c r="AT64" s="10"/>
      <c r="AU64" s="10">
        <f>AS64-F64</f>
        <v>-0.4306537234439354</v>
      </c>
      <c r="AV64" s="10">
        <f>AU64^2</f>
        <v>0.18546262951612558</v>
      </c>
      <c r="AW64">
        <v>3</v>
      </c>
      <c r="AX64">
        <v>6</v>
      </c>
      <c r="AY64" s="10">
        <f t="shared" si="32"/>
        <v>2</v>
      </c>
      <c r="AZ64" s="10">
        <f t="shared" si="33"/>
        <v>1.7443379454102201</v>
      </c>
      <c r="BA64" s="10">
        <f t="shared" si="2"/>
        <v>-0.25566205458977986</v>
      </c>
      <c r="BB64" s="24">
        <f t="shared" si="3"/>
        <v>0.06536308615706758</v>
      </c>
      <c r="BC64" s="10">
        <f t="shared" si="4"/>
        <v>-0.012783102729488993</v>
      </c>
    </row>
    <row r="65" spans="1:55" ht="12.75">
      <c r="A65" s="8" t="s">
        <v>12</v>
      </c>
      <c r="B65" s="26">
        <v>0.12</v>
      </c>
      <c r="C65" s="26">
        <v>2.17</v>
      </c>
      <c r="D65" s="26">
        <v>2.65</v>
      </c>
      <c r="E65" s="26">
        <v>2.38</v>
      </c>
      <c r="F65" s="26">
        <v>3.97</v>
      </c>
      <c r="G65" s="25">
        <v>6.56</v>
      </c>
      <c r="H65" s="9"/>
      <c r="I65" s="10">
        <v>0.13</v>
      </c>
      <c r="J65" s="10">
        <v>0.12</v>
      </c>
      <c r="K65" s="10">
        <v>0.15</v>
      </c>
      <c r="L65" s="10">
        <v>0.24</v>
      </c>
      <c r="M65" s="10">
        <v>0.67</v>
      </c>
      <c r="N65" s="9">
        <v>4.48</v>
      </c>
      <c r="O65" s="11">
        <f>SUM(B65:G65)</f>
        <v>17.849999999999998</v>
      </c>
      <c r="P65" s="11">
        <f>P64+$G$55-O65</f>
        <v>41.480000000000004</v>
      </c>
      <c r="Q65" s="11">
        <f>G65</f>
        <v>6.56</v>
      </c>
      <c r="R65" s="11">
        <f>20-AD66</f>
        <v>8.006898837077484</v>
      </c>
      <c r="S65" s="11">
        <f t="shared" si="29"/>
        <v>0.4003449418538742</v>
      </c>
      <c r="T65" s="11">
        <f t="shared" si="30"/>
        <v>0.8192934784716722</v>
      </c>
      <c r="U65" s="11">
        <f>AL66</f>
        <v>11.993101162922516</v>
      </c>
      <c r="V65" s="11">
        <f>(U65-Q65)^2</f>
        <v>29.518588246549996</v>
      </c>
      <c r="W65" s="11"/>
      <c r="X65" s="4">
        <v>7</v>
      </c>
      <c r="Y65" s="10">
        <f>P60-Y60-Y61-Y62-Y63-Y64</f>
        <v>0.1377848188052614</v>
      </c>
      <c r="Z65" s="22">
        <f>Z63*Y65/Y63</f>
        <v>0.2746260624669951</v>
      </c>
      <c r="AA65" s="22">
        <f>AA63*Y65/Y63</f>
        <v>0.785657723426514</v>
      </c>
      <c r="AB65" s="22">
        <f>AB63*Y65/Y63</f>
        <v>1.7101831837259152</v>
      </c>
      <c r="AC65" s="22">
        <f>$G$55*Y65/Y63</f>
        <v>3.7788865567607517</v>
      </c>
      <c r="AD65" s="22">
        <f>$G$55*Y65/Y64</f>
        <v>11.993101162922516</v>
      </c>
      <c r="AE65" s="11"/>
      <c r="AF65" s="4">
        <v>7</v>
      </c>
      <c r="AG65" s="10">
        <f t="shared" si="31"/>
        <v>0.1377848188052614</v>
      </c>
      <c r="AH65" s="10">
        <f>Z65-(Z65*(Z66-AH66)/Z66)</f>
        <v>0.2746260624669951</v>
      </c>
      <c r="AI65" s="10">
        <f>AA65-(AA65*(AA66-AI66)/AA66)</f>
        <v>0.785657723426514</v>
      </c>
      <c r="AJ65" s="10">
        <f>AB65-(AB65*(AB66-AJ66)/AB66)</f>
        <v>1.7101831837259152</v>
      </c>
      <c r="AK65" s="10">
        <f>AC65-(AC65*(AC66-AK66)/AC66)</f>
        <v>3.7788865567607517</v>
      </c>
      <c r="AL65" s="10">
        <f>AD65-(AD65*(AD66-AL66)/AD66)</f>
        <v>11.993101162922516</v>
      </c>
      <c r="AM65" s="11"/>
      <c r="AN65" s="8" t="s">
        <v>12</v>
      </c>
      <c r="AO65" s="10">
        <f>16*(AG64-AG65)</f>
        <v>1.4718182934962467</v>
      </c>
      <c r="AP65" s="10">
        <f>8*(AH64-AH65)</f>
        <v>1.4667786557133091</v>
      </c>
      <c r="AQ65" s="10">
        <f>4*(AI64-AI65)</f>
        <v>2.0981001749548365</v>
      </c>
      <c r="AR65" s="10">
        <f>2*(AJ64-AJ65)</f>
        <v>2.283523428835596</v>
      </c>
      <c r="AS65" s="10">
        <f>AK64-AK65</f>
        <v>2.5228806099224337</v>
      </c>
      <c r="AT65" s="9">
        <f>$G$3-AL65</f>
        <v>8.006898837077484</v>
      </c>
      <c r="AU65" s="10">
        <f>AT65-G65</f>
        <v>1.4468988370774847</v>
      </c>
      <c r="AV65" s="10">
        <f>AU65^2</f>
        <v>2.0935162447361777</v>
      </c>
      <c r="AW65">
        <v>3</v>
      </c>
      <c r="AX65">
        <v>7</v>
      </c>
      <c r="AY65" s="10">
        <f t="shared" si="32"/>
        <v>2.64</v>
      </c>
      <c r="AZ65" s="10">
        <f t="shared" si="33"/>
        <v>2.9804080478876687</v>
      </c>
      <c r="BA65" s="10">
        <f t="shared" si="2"/>
        <v>0.34040804788766854</v>
      </c>
      <c r="BB65" s="24">
        <f t="shared" si="3"/>
        <v>0.11587763906669324</v>
      </c>
      <c r="BC65" s="10">
        <f t="shared" si="4"/>
        <v>0.017020402394383426</v>
      </c>
    </row>
    <row r="66" spans="1:55" ht="12.75">
      <c r="A66" s="12" t="s">
        <v>13</v>
      </c>
      <c r="B66" s="28">
        <v>6.52</v>
      </c>
      <c r="C66" s="28">
        <v>5.49</v>
      </c>
      <c r="D66" s="28">
        <v>6.44</v>
      </c>
      <c r="E66" s="28">
        <v>3.91</v>
      </c>
      <c r="F66" s="28">
        <v>5.68</v>
      </c>
      <c r="G66" s="28">
        <v>13.44</v>
      </c>
      <c r="H66" s="13"/>
      <c r="I66" s="13"/>
      <c r="J66" s="13"/>
      <c r="K66" s="13"/>
      <c r="L66" s="13"/>
      <c r="M66" s="13"/>
      <c r="N66" s="13"/>
      <c r="O66" s="14">
        <f>SUM(B66:G66)</f>
        <v>41.48</v>
      </c>
      <c r="P66" s="14"/>
      <c r="Q66" s="14"/>
      <c r="R66" s="14"/>
      <c r="S66" s="14"/>
      <c r="T66" s="14"/>
      <c r="U66" s="14"/>
      <c r="V66" s="14"/>
      <c r="W66" s="22"/>
      <c r="X66" s="16" t="s">
        <v>18</v>
      </c>
      <c r="Y66" s="10">
        <f aca="true" t="shared" si="34" ref="Y66:AD66">SUM(Y60:Y65)</f>
        <v>16.25</v>
      </c>
      <c r="Z66" s="10">
        <f t="shared" si="34"/>
        <v>12.388717086430283</v>
      </c>
      <c r="AA66" s="10">
        <f t="shared" si="34"/>
        <v>15.441979449673429</v>
      </c>
      <c r="AB66" s="10">
        <f t="shared" si="34"/>
        <v>13.613382508474476</v>
      </c>
      <c r="AC66" s="10">
        <f t="shared" si="34"/>
        <v>10.080653723443938</v>
      </c>
      <c r="AD66" s="10">
        <f t="shared" si="34"/>
        <v>11.993101162922516</v>
      </c>
      <c r="AE66" s="22"/>
      <c r="AF66" s="16" t="s">
        <v>18</v>
      </c>
      <c r="AG66" s="10">
        <f t="shared" si="31"/>
        <v>16.25</v>
      </c>
      <c r="AH66" s="10">
        <f>Z66*(V55*(Z66/$G$55)^2-V55*(Z66/$G$55)+1)</f>
        <v>12.388717086430283</v>
      </c>
      <c r="AI66" s="10">
        <f>AA66*(V55*(AA66/$G$55)^2-V55*(AA66/$G$55)+1)</f>
        <v>15.441979449673429</v>
      </c>
      <c r="AJ66" s="10">
        <f>AB66*(V55*(AB66/$G$55)^2-V55*(AB66/$G$55)+1)</f>
        <v>13.613382508474476</v>
      </c>
      <c r="AK66" s="10">
        <f>AC66*(V55*(AC66/$G$55)^2-V55*(AC66/$G$55)+1)</f>
        <v>10.080653723443938</v>
      </c>
      <c r="AL66" s="10">
        <f>AD66*(V55*(AD66/$G$55)^2-V55*(AD66/$G$55)+1)</f>
        <v>11.993101162922516</v>
      </c>
      <c r="AM66" s="22"/>
      <c r="AN66" s="12" t="s">
        <v>13</v>
      </c>
      <c r="AO66" s="13">
        <f>32*AG65</f>
        <v>4.409114201768364</v>
      </c>
      <c r="AP66" s="13">
        <f>16*AH65</f>
        <v>4.394016999471922</v>
      </c>
      <c r="AQ66" s="13">
        <f>8*AI65</f>
        <v>6.285261787412112</v>
      </c>
      <c r="AR66" s="13">
        <f>4*AJ65</f>
        <v>6.840732734903661</v>
      </c>
      <c r="AS66" s="13">
        <f>2*AK65</f>
        <v>7.557773113521503</v>
      </c>
      <c r="AT66" s="13">
        <f>AL65</f>
        <v>11.993101162922516</v>
      </c>
      <c r="AW66">
        <v>3</v>
      </c>
      <c r="AX66">
        <v>3</v>
      </c>
      <c r="AY66" s="10">
        <f>D36</f>
        <v>1.86</v>
      </c>
      <c r="AZ66" s="10">
        <f>AQ36</f>
        <v>3.303383893737462</v>
      </c>
      <c r="BA66" s="10">
        <f t="shared" si="2"/>
        <v>1.443383893737462</v>
      </c>
      <c r="BB66" s="24">
        <f t="shared" si="3"/>
        <v>2.0833570647007167</v>
      </c>
      <c r="BC66" s="10">
        <f t="shared" si="4"/>
        <v>0.07216919468687309</v>
      </c>
    </row>
    <row r="67" spans="24:55" ht="12.75">
      <c r="X67" s="16"/>
      <c r="AW67">
        <v>3</v>
      </c>
      <c r="AX67">
        <v>4</v>
      </c>
      <c r="AY67" s="10">
        <f>D37</f>
        <v>6.47</v>
      </c>
      <c r="AZ67" s="10">
        <f>AQ37</f>
        <v>4.391529520186419</v>
      </c>
      <c r="BA67" s="10">
        <f aca="true" t="shared" si="35" ref="BA67:BA130">AZ67-AY67</f>
        <v>-2.078470479813581</v>
      </c>
      <c r="BB67" s="24">
        <f aca="true" t="shared" si="36" ref="BB67:BB130">BA67^2</f>
        <v>4.320039535456498</v>
      </c>
      <c r="BC67" s="10">
        <f aca="true" t="shared" si="37" ref="BC67:BC130">BA67/20</f>
        <v>-0.10392352399067906</v>
      </c>
    </row>
    <row r="68" spans="1:55" ht="12.75">
      <c r="A68" s="2" t="s">
        <v>49</v>
      </c>
      <c r="F68" t="s">
        <v>30</v>
      </c>
      <c r="G68">
        <v>20</v>
      </c>
      <c r="O68" s="18" t="s">
        <v>22</v>
      </c>
      <c r="P68" s="20">
        <f>AVERAGE(S74:S78)*$G$68</f>
        <v>4.806394751063166</v>
      </c>
      <c r="Q68" s="8" t="s">
        <v>24</v>
      </c>
      <c r="R68">
        <f>P68/$G$68</f>
        <v>0.24031973755315833</v>
      </c>
      <c r="T68" s="19">
        <f>(P69-1)/(R68^2-R68)</f>
        <v>4.6227508949478295</v>
      </c>
      <c r="U68" s="18" t="s">
        <v>20</v>
      </c>
      <c r="V68" s="19">
        <v>0</v>
      </c>
      <c r="X68" s="23"/>
      <c r="Y68" s="11"/>
      <c r="Z68" s="4" t="s">
        <v>32</v>
      </c>
      <c r="AA68" s="4" t="s">
        <v>33</v>
      </c>
      <c r="AB68" s="4" t="s">
        <v>34</v>
      </c>
      <c r="AC68" s="4" t="s">
        <v>35</v>
      </c>
      <c r="AD68" s="4" t="s">
        <v>36</v>
      </c>
      <c r="AW68">
        <v>3</v>
      </c>
      <c r="AX68">
        <v>5</v>
      </c>
      <c r="AY68" s="10">
        <f>D38</f>
        <v>3.89</v>
      </c>
      <c r="AZ68" s="10">
        <f>AQ38</f>
        <v>4.993033379884983</v>
      </c>
      <c r="BA68" s="10">
        <f t="shared" si="35"/>
        <v>1.1030333798849825</v>
      </c>
      <c r="BB68" s="24">
        <f t="shared" si="36"/>
        <v>1.2166826371404882</v>
      </c>
      <c r="BC68" s="10">
        <f t="shared" si="37"/>
        <v>0.05515166899424913</v>
      </c>
    </row>
    <row r="69" spans="1:5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2" t="s">
        <v>23</v>
      </c>
      <c r="P69" s="3">
        <f>Q73/P68</f>
        <v>0.15604211448385535</v>
      </c>
      <c r="Q69" s="12"/>
      <c r="R69" s="3"/>
      <c r="S69" s="3"/>
      <c r="T69" s="3"/>
      <c r="U69" s="17" t="s">
        <v>21</v>
      </c>
      <c r="V69" s="13">
        <f>SUM(V74:V78)</f>
        <v>684.6298297843797</v>
      </c>
      <c r="W69" s="19"/>
      <c r="Y69" s="21" t="s">
        <v>37</v>
      </c>
      <c r="Z69">
        <f>-2</f>
        <v>-2</v>
      </c>
      <c r="AA69">
        <f>-2*$G$68-4*Y73</f>
        <v>-80.09587737772824</v>
      </c>
      <c r="AB69">
        <f>-2*$G$68*Y73-4*$G$68*Y74-8*Y73*Y74</f>
        <v>-1173.770916276816</v>
      </c>
      <c r="AC69">
        <f>-2*$G$68*Y73*Y74-4*$G$68*Y73*Y75-8*$G$68*Y74*Y75-16*Y73*Y74*Y75</f>
        <v>-7661.47639565441</v>
      </c>
      <c r="AD69">
        <f>-2*$G$68*Y73*Y74*Y75-4*$G$68*Y73*Y74*Y76-8*$G$68*Y73*Y75*Y76-16*$G$68*Y74*Y75*Y76-32*Y73*Y74*Y75*Y76</f>
        <v>-23726.450241835133</v>
      </c>
      <c r="AE69" s="19"/>
      <c r="AM69" s="19"/>
      <c r="AN69" s="3"/>
      <c r="AO69" s="3"/>
      <c r="AP69" s="3"/>
      <c r="AQ69" s="3"/>
      <c r="AR69" s="3"/>
      <c r="AS69" s="3"/>
      <c r="AT69" s="3"/>
      <c r="AW69">
        <v>3</v>
      </c>
      <c r="AX69">
        <v>6</v>
      </c>
      <c r="AY69" s="10">
        <f>D39</f>
        <v>2.84</v>
      </c>
      <c r="AZ69" s="10">
        <f>AQ39</f>
        <v>2.6995508085535924</v>
      </c>
      <c r="BA69" s="10">
        <f t="shared" si="35"/>
        <v>-0.14044919144640744</v>
      </c>
      <c r="BB69" s="24">
        <f t="shared" si="36"/>
        <v>0.01972597537794961</v>
      </c>
      <c r="BC69" s="10">
        <f t="shared" si="37"/>
        <v>-0.007022459572320372</v>
      </c>
    </row>
    <row r="70" spans="24:55" ht="12.75">
      <c r="X70" s="4"/>
      <c r="Y70" s="21" t="s">
        <v>38</v>
      </c>
      <c r="Z70">
        <f>2*P73-$G$68-P74</f>
        <v>-18.36</v>
      </c>
      <c r="AA70">
        <f>2*P73*$G$68+4*P73*Y73-P75*Y73-2*$G$68*Y73-$G$68*Y73-4*Y73^2</f>
        <v>3.0071908033295927</v>
      </c>
      <c r="AB70">
        <f>2*P73*$G$68*Y73-2*$G$68*Y73^2+4*P73*$G$68*Y74+8*P73*Y73*Y74-P76*Y73*Y74-4*$G$68*Y73*Y74-2*$G$68*Y73*Y74-$G$68*Y73*Y74-8*Y73^2*Y74-4*$G$68*Y74^2-8*Y73*Y74^2</f>
        <v>1118.5338742153053</v>
      </c>
      <c r="AC70">
        <f>2*P73*$G$68*Y73*Y74-2*$G$68*Y73^2*Y74-2*$G$68*Y73*Y74^2+4*P73*$G$68*Y73*Y75-4*$G$68*Y73^2*Y75+8*P73*$G$68*Y74*Y75+16*P73*Y73*Y74*Y75-P77*Y73*Y74*Y75-8*$G$68*Y73*Y74*Y75-4*$G$68*Y73*Y74*Y75-2*$G$68*Y73*Y74*Y75-$G$68*Y73*Y74*Y75-16*Y73^2*Y74*Y75-8*$G$68*Y74^2*Y75-16*Y73*Y74^2*Y75-4*$G$68*Y73*Y75^2-8*$G$68*Y74*Y75^2-16*Y73*Y74*Y75^2</f>
        <v>5771.4363554218435</v>
      </c>
      <c r="AD70">
        <f>2*P73*$G$68*Y73*Y74*Y75-2*$G$68*Y73^2*Y74*Y75-2*$G$68*Y73*Y74^2*Y75-2*$G$68*Y73*Y74*Y75^2+4*P73*$G$68*Y73*Y74*Y76-4*$G$68*Y73^2*Y74*Y76-4*$G$68*Y73*Y74^2*Y76+8*P73*$G$68*Y73*Y75*Y76-8*$G$68*Y73^2*Y75*Y76+16*P73*$G$68*Y74*Y75*Y76+32*P73*Y73*Y74*Y75*Y76-P78*Y73*Y74*Y75*Y76-16*$G$68*Y73*Y74*Y75*Y76-8*$G$68*Y73*Y74*Y75*Y76-4*$G$68*Y73*Y74*Y75*Y76-2*$G$68*Y73*Y74*Y75*Y76-$G$68*Y73*Y74*Y75*Y76-32*Y73^2*Y74*Y75*Y76-16*$G$68*Y74^2*Y75*Y76-32*Y73*Y74^2*Y75*Y76-8*$G$68*Y73*Y75^2*Y76-16*$G$68*Y74*Y75^2*Y76-32*Y73*Y74*Y75^2*Y76-4*$G$68*Y73*Y74*Y76^2-8*$G$68*Y73*Y75*Y76^2-16*$G$68*Y74*Y75*Y76^2-32*Y73*Y74*Y75*Y76^2</f>
        <v>6216.7229454873395</v>
      </c>
      <c r="AW70">
        <v>3</v>
      </c>
      <c r="AX70">
        <v>7</v>
      </c>
      <c r="AY70" s="10">
        <f>D40</f>
        <v>4.94</v>
      </c>
      <c r="AZ70" s="10">
        <f>AQ40</f>
        <v>4.612502397637545</v>
      </c>
      <c r="BA70" s="10">
        <f t="shared" si="35"/>
        <v>-0.3274976023624552</v>
      </c>
      <c r="BB70" s="24">
        <f t="shared" si="36"/>
        <v>0.1072546795531568</v>
      </c>
      <c r="BC70" s="10">
        <f t="shared" si="37"/>
        <v>-0.01637488011812276</v>
      </c>
    </row>
    <row r="71" spans="1:55" ht="15.75">
      <c r="A71" s="4" t="s">
        <v>1</v>
      </c>
      <c r="B71" s="5" t="s">
        <v>2</v>
      </c>
      <c r="C71" s="5"/>
      <c r="D71" s="5"/>
      <c r="E71" s="5"/>
      <c r="F71" s="5"/>
      <c r="G71" s="5"/>
      <c r="H71" s="6"/>
      <c r="I71" s="5" t="s">
        <v>3</v>
      </c>
      <c r="J71" s="5"/>
      <c r="K71" s="5"/>
      <c r="L71" s="5"/>
      <c r="M71" s="5"/>
      <c r="N71" s="5"/>
      <c r="O71" s="4" t="s">
        <v>4</v>
      </c>
      <c r="P71" s="4" t="s">
        <v>14</v>
      </c>
      <c r="Q71" s="4" t="s">
        <v>5</v>
      </c>
      <c r="R71" s="4" t="s">
        <v>40</v>
      </c>
      <c r="S71" s="4" t="s">
        <v>42</v>
      </c>
      <c r="T71" s="4" t="s">
        <v>16</v>
      </c>
      <c r="U71" s="4" t="s">
        <v>15</v>
      </c>
      <c r="V71" s="4"/>
      <c r="W71" s="4"/>
      <c r="Y71" s="21" t="s">
        <v>39</v>
      </c>
      <c r="Z71">
        <f>$G$68*P73</f>
        <v>385</v>
      </c>
      <c r="AA71">
        <f>P73*$G$68*Y73-$G$68*Y73^2</f>
        <v>1849.628969244069</v>
      </c>
      <c r="AB71">
        <f>P73*$G$68*Y73*Y74-$G$68*Y73^2*Y74-$G$68*Y73*Y74^2</f>
        <v>4257.23424705241</v>
      </c>
      <c r="AC71">
        <f>P73*$G$68*Y73*Y74*Y75-$G$68*Y73^2*Y74*Y75-$G$68*Y73*Y74^2*Y75-$G$68*Y73*Y74*Y75^2</f>
        <v>4629.670187326696</v>
      </c>
      <c r="AD71">
        <f>P73*$G$68*Y73*Y74*Y75*Y76-$G$68*Y73^2*Y74*Y75*Y76-$G$68*Y73*Y74^2*Y75*Y76-$G$68*Y73*Y74*Y75^2*Y76-$G$68*Y73*Y74*Y75*Y76^2</f>
        <v>2112.2100264600435</v>
      </c>
      <c r="AE71" s="4"/>
      <c r="AM71" s="4"/>
      <c r="AN71" s="4" t="s">
        <v>1</v>
      </c>
      <c r="AO71" s="5" t="s">
        <v>31</v>
      </c>
      <c r="AP71" s="5"/>
      <c r="AQ71" s="5"/>
      <c r="AR71" s="5"/>
      <c r="AS71" s="5"/>
      <c r="AT71" s="5"/>
      <c r="AW71">
        <v>3</v>
      </c>
      <c r="AX71">
        <v>4</v>
      </c>
      <c r="AY71" s="10">
        <f>E37</f>
        <v>6.94</v>
      </c>
      <c r="AZ71" s="10">
        <f>AR37</f>
        <v>8.329854313370292</v>
      </c>
      <c r="BA71" s="10">
        <f t="shared" si="35"/>
        <v>1.389854313370292</v>
      </c>
      <c r="BB71" s="24">
        <f t="shared" si="36"/>
        <v>1.931695012394006</v>
      </c>
      <c r="BC71" s="10">
        <f t="shared" si="37"/>
        <v>0.0694927156685146</v>
      </c>
    </row>
    <row r="72" spans="1:55" ht="12.75">
      <c r="A72" s="7" t="s">
        <v>6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11</v>
      </c>
      <c r="G72" s="7" t="s">
        <v>12</v>
      </c>
      <c r="H72" s="7"/>
      <c r="I72" s="7" t="s">
        <v>7</v>
      </c>
      <c r="J72" s="7" t="s">
        <v>8</v>
      </c>
      <c r="K72" s="7" t="s">
        <v>9</v>
      </c>
      <c r="L72" s="7" t="s">
        <v>10</v>
      </c>
      <c r="M72" s="7" t="s">
        <v>11</v>
      </c>
      <c r="N72" s="7" t="s">
        <v>12</v>
      </c>
      <c r="O72" s="7"/>
      <c r="P72" s="7"/>
      <c r="Q72" s="7" t="s">
        <v>41</v>
      </c>
      <c r="R72" s="7" t="s">
        <v>41</v>
      </c>
      <c r="S72" s="7" t="s">
        <v>41</v>
      </c>
      <c r="T72" s="7"/>
      <c r="U72" s="7" t="s">
        <v>41</v>
      </c>
      <c r="V72" s="7" t="s">
        <v>19</v>
      </c>
      <c r="W72" s="15"/>
      <c r="X72" s="4" t="s">
        <v>17</v>
      </c>
      <c r="Y72" s="4">
        <v>1</v>
      </c>
      <c r="Z72" s="15">
        <v>2</v>
      </c>
      <c r="AA72" s="15">
        <v>3</v>
      </c>
      <c r="AB72" s="15">
        <v>4</v>
      </c>
      <c r="AC72" s="15">
        <v>5</v>
      </c>
      <c r="AD72" s="15">
        <v>6</v>
      </c>
      <c r="AE72" s="15"/>
      <c r="AF72" s="4" t="s">
        <v>17</v>
      </c>
      <c r="AG72" s="4">
        <v>1</v>
      </c>
      <c r="AH72" s="15">
        <v>2</v>
      </c>
      <c r="AI72" s="15">
        <v>3</v>
      </c>
      <c r="AJ72" s="15">
        <v>4</v>
      </c>
      <c r="AK72" s="15">
        <v>5</v>
      </c>
      <c r="AL72" s="15">
        <v>6</v>
      </c>
      <c r="AM72" s="15"/>
      <c r="AN72" s="7" t="s">
        <v>6</v>
      </c>
      <c r="AO72" s="7" t="s">
        <v>7</v>
      </c>
      <c r="AP72" s="7" t="s">
        <v>8</v>
      </c>
      <c r="AQ72" s="7" t="s">
        <v>9</v>
      </c>
      <c r="AR72" s="7" t="s">
        <v>10</v>
      </c>
      <c r="AS72" s="7" t="s">
        <v>11</v>
      </c>
      <c r="AT72" s="7" t="s">
        <v>12</v>
      </c>
      <c r="AW72">
        <v>3</v>
      </c>
      <c r="AX72">
        <v>5</v>
      </c>
      <c r="AY72" s="10">
        <f>E38</f>
        <v>7.08</v>
      </c>
      <c r="AZ72" s="10">
        <f>AR38</f>
        <v>4.735393493890398</v>
      </c>
      <c r="BA72" s="10">
        <f t="shared" si="35"/>
        <v>-2.344606506109602</v>
      </c>
      <c r="BB72" s="24">
        <f t="shared" si="36"/>
        <v>5.497179668491475</v>
      </c>
      <c r="BC72" s="10">
        <f t="shared" si="37"/>
        <v>-0.1172303253054801</v>
      </c>
    </row>
    <row r="73" spans="1:55" ht="12.75">
      <c r="A73" s="8" t="s">
        <v>7</v>
      </c>
      <c r="B73" s="25">
        <v>0.75</v>
      </c>
      <c r="C73" s="26"/>
      <c r="D73" s="26"/>
      <c r="E73" s="26"/>
      <c r="F73" s="26"/>
      <c r="G73" s="26"/>
      <c r="H73" s="10"/>
      <c r="I73" s="9">
        <v>0</v>
      </c>
      <c r="J73" s="10"/>
      <c r="K73" s="10"/>
      <c r="L73" s="10"/>
      <c r="M73" s="10"/>
      <c r="N73" s="10"/>
      <c r="O73" s="11">
        <f>B73</f>
        <v>0.75</v>
      </c>
      <c r="P73" s="11">
        <f>$G$68-O73</f>
        <v>19.25</v>
      </c>
      <c r="Q73" s="11">
        <f>$B73</f>
        <v>0.75</v>
      </c>
      <c r="R73" s="11">
        <f>20-Y79</f>
        <v>0.75</v>
      </c>
      <c r="S73" s="11">
        <f aca="true" t="shared" si="38" ref="S73:S78">R73/$G$68</f>
        <v>0.0375</v>
      </c>
      <c r="T73" s="11">
        <f aca="true" t="shared" si="39" ref="T73:T78">Q73/R73</f>
        <v>1</v>
      </c>
      <c r="U73" s="11">
        <f>AG79</f>
        <v>19.25</v>
      </c>
      <c r="V73" s="11"/>
      <c r="W73" s="11"/>
      <c r="X73" s="4">
        <v>2</v>
      </c>
      <c r="Y73" s="10">
        <f>(-Z70-SQRT(Z70^2-4*Z69*Z71))/(2*Z69)</f>
        <v>10.023969344432059</v>
      </c>
      <c r="Z73" s="11"/>
      <c r="AA73" s="11"/>
      <c r="AB73" s="11"/>
      <c r="AC73" s="11"/>
      <c r="AD73" s="11"/>
      <c r="AE73" s="11"/>
      <c r="AF73" s="4">
        <v>2</v>
      </c>
      <c r="AG73" s="10">
        <f aca="true" t="shared" si="40" ref="AG73:AG79">Y73</f>
        <v>10.023969344432059</v>
      </c>
      <c r="AH73" s="10"/>
      <c r="AI73" s="10"/>
      <c r="AJ73" s="10"/>
      <c r="AK73" s="10"/>
      <c r="AL73" s="10"/>
      <c r="AM73" s="11"/>
      <c r="AN73" s="8" t="s">
        <v>7</v>
      </c>
      <c r="AO73" s="9">
        <f>$G$68-AG73-AG74-AG75-AG76-AG77-AG78</f>
        <v>0.75</v>
      </c>
      <c r="AP73" s="10"/>
      <c r="AQ73" s="10"/>
      <c r="AR73" s="10"/>
      <c r="AS73" s="10"/>
      <c r="AT73" s="10"/>
      <c r="AW73">
        <v>3</v>
      </c>
      <c r="AX73">
        <v>6</v>
      </c>
      <c r="AY73" s="10">
        <f>E39</f>
        <v>3.1</v>
      </c>
      <c r="AZ73" s="10">
        <f>AR39</f>
        <v>2.560254330914511</v>
      </c>
      <c r="BA73" s="10">
        <f t="shared" si="35"/>
        <v>-0.5397456690854892</v>
      </c>
      <c r="BB73" s="24">
        <f t="shared" si="36"/>
        <v>0.29132538729654234</v>
      </c>
      <c r="BC73" s="10">
        <f t="shared" si="37"/>
        <v>-0.02698728345427446</v>
      </c>
    </row>
    <row r="74" spans="1:55" ht="12.75">
      <c r="A74" s="8" t="s">
        <v>8</v>
      </c>
      <c r="B74" s="26">
        <v>0.94</v>
      </c>
      <c r="C74" s="25">
        <v>1.45</v>
      </c>
      <c r="D74" s="26"/>
      <c r="E74" s="26"/>
      <c r="F74" s="26"/>
      <c r="G74" s="26"/>
      <c r="H74" s="10"/>
      <c r="I74" s="10">
        <v>0</v>
      </c>
      <c r="J74" s="9">
        <v>0</v>
      </c>
      <c r="K74" s="10"/>
      <c r="L74" s="10"/>
      <c r="M74" s="10"/>
      <c r="N74" s="10"/>
      <c r="O74" s="11">
        <f>SUM(B74:C74)</f>
        <v>2.3899999999999997</v>
      </c>
      <c r="P74" s="11">
        <f>P73+$G$68-O74</f>
        <v>36.86</v>
      </c>
      <c r="Q74" s="11">
        <f>C74</f>
        <v>1.45</v>
      </c>
      <c r="R74" s="11">
        <f>20-Z79</f>
        <v>1.5920613111358826</v>
      </c>
      <c r="S74" s="11">
        <f t="shared" si="38"/>
        <v>0.07960306555679413</v>
      </c>
      <c r="T74" s="11">
        <f t="shared" si="39"/>
        <v>0.9107689445486703</v>
      </c>
      <c r="U74" s="11">
        <f>AH79</f>
        <v>18.407938688864117</v>
      </c>
      <c r="V74" s="11">
        <f>(U74-Q74)^2</f>
        <v>287.5716845752745</v>
      </c>
      <c r="W74" s="11"/>
      <c r="X74" s="4">
        <v>3</v>
      </c>
      <c r="Y74" s="10">
        <f>(-AA70-SQRT(AA70^2-4*AA69*AA71))/(2*AA69)</f>
        <v>4.824294132237227</v>
      </c>
      <c r="Z74" s="10">
        <f>$G$68*Y74/Y73</f>
        <v>9.625516532364381</v>
      </c>
      <c r="AA74" s="11"/>
      <c r="AB74" s="11"/>
      <c r="AC74" s="11"/>
      <c r="AD74" s="11"/>
      <c r="AE74" s="11"/>
      <c r="AF74" s="4">
        <v>3</v>
      </c>
      <c r="AG74" s="10">
        <f t="shared" si="40"/>
        <v>4.824294132237227</v>
      </c>
      <c r="AH74" s="10">
        <f>Z74-(Z74*(Z79-AH79)/Z79)</f>
        <v>9.625516532364381</v>
      </c>
      <c r="AI74" s="10"/>
      <c r="AJ74" s="10"/>
      <c r="AK74" s="10"/>
      <c r="AL74" s="10"/>
      <c r="AM74" s="11"/>
      <c r="AN74" s="8" t="s">
        <v>8</v>
      </c>
      <c r="AO74" s="10">
        <f>AG73-AG74-AG75-AG76-AG77-AG78</f>
        <v>0.797938688864118</v>
      </c>
      <c r="AP74" s="9">
        <f>$G$68-AH74-AH75-AH76-AH77-AH78</f>
        <v>1.5920613111358783</v>
      </c>
      <c r="AQ74" s="10"/>
      <c r="AR74" s="10"/>
      <c r="AS74" s="10"/>
      <c r="AT74" s="10"/>
      <c r="AU74" s="10">
        <f>AP74-C74</f>
        <v>0.1420613111358784</v>
      </c>
      <c r="AV74" s="10">
        <f>AU74^2</f>
        <v>0.020181416121644844</v>
      </c>
      <c r="AW74">
        <v>3</v>
      </c>
      <c r="AX74">
        <v>7</v>
      </c>
      <c r="AY74" s="10">
        <f>E40</f>
        <v>2.88</v>
      </c>
      <c r="AZ74" s="10">
        <f>AR40</f>
        <v>4.374497861824797</v>
      </c>
      <c r="BA74" s="10">
        <f t="shared" si="35"/>
        <v>1.4944978618247973</v>
      </c>
      <c r="BB74" s="24">
        <f t="shared" si="36"/>
        <v>2.2335238589988906</v>
      </c>
      <c r="BC74" s="10">
        <f t="shared" si="37"/>
        <v>0.07472489309123986</v>
      </c>
    </row>
    <row r="75" spans="1:55" ht="12.75">
      <c r="A75" s="8" t="s">
        <v>9</v>
      </c>
      <c r="B75" s="26">
        <v>0.68</v>
      </c>
      <c r="C75" s="26">
        <v>0.31</v>
      </c>
      <c r="D75" s="25">
        <v>2.45</v>
      </c>
      <c r="E75" s="26"/>
      <c r="F75" s="26"/>
      <c r="G75" s="26"/>
      <c r="H75" s="10"/>
      <c r="I75" s="10">
        <v>0</v>
      </c>
      <c r="J75" s="10">
        <v>0</v>
      </c>
      <c r="K75" s="9">
        <v>0</v>
      </c>
      <c r="L75" s="10"/>
      <c r="M75" s="10"/>
      <c r="N75" s="10"/>
      <c r="O75" s="11">
        <f>SUM(B75:D75)</f>
        <v>3.4400000000000004</v>
      </c>
      <c r="P75" s="11">
        <f>P74+$G$68-O75</f>
        <v>53.42</v>
      </c>
      <c r="Q75" s="11">
        <f>D75</f>
        <v>2.45</v>
      </c>
      <c r="R75" s="11">
        <f>20-AA79</f>
        <v>1.7517904063223213</v>
      </c>
      <c r="S75" s="11">
        <f t="shared" si="38"/>
        <v>0.08758952031611607</v>
      </c>
      <c r="T75" s="11">
        <f t="shared" si="39"/>
        <v>1.3985691388409234</v>
      </c>
      <c r="U75" s="11">
        <f>AI79</f>
        <v>18.24820959367768</v>
      </c>
      <c r="V75" s="11">
        <f>(U75-Q75)^2</f>
        <v>249.58342636576947</v>
      </c>
      <c r="W75" s="11"/>
      <c r="X75" s="4">
        <v>4</v>
      </c>
      <c r="Y75" s="10">
        <f>(-AB70-SQRT(AB70^2-4*AB69*AB71))/(2*AB69)</f>
        <v>2.439629938275356</v>
      </c>
      <c r="Z75" s="10">
        <f>Z74*Y75/Y74</f>
        <v>4.867592576249208</v>
      </c>
      <c r="AA75" s="10">
        <f>$G$68*Y75/Y74</f>
        <v>10.113935309097739</v>
      </c>
      <c r="AB75" s="11"/>
      <c r="AC75" s="11"/>
      <c r="AD75" s="11"/>
      <c r="AE75" s="11"/>
      <c r="AF75" s="4">
        <v>4</v>
      </c>
      <c r="AG75" s="10">
        <f t="shared" si="40"/>
        <v>2.439629938275356</v>
      </c>
      <c r="AH75" s="10">
        <f>Z75-(Z75*(Z79-AH79)/Z79)</f>
        <v>4.867592576249208</v>
      </c>
      <c r="AI75" s="10">
        <f>AA75-(AA75*(AA79-AI79)/AA79)</f>
        <v>10.113935309097739</v>
      </c>
      <c r="AJ75" s="10"/>
      <c r="AK75" s="10"/>
      <c r="AL75" s="10"/>
      <c r="AM75" s="11"/>
      <c r="AN75" s="8" t="s">
        <v>9</v>
      </c>
      <c r="AO75" s="10">
        <f>2*(AG74-AG75-AG76-AG77-AG78)</f>
        <v>0.8451152178130242</v>
      </c>
      <c r="AP75" s="10">
        <f>AH74-AH75-AH76-AH77-AH78</f>
        <v>0.8430943758646408</v>
      </c>
      <c r="AQ75" s="9">
        <f>$G$68-AI75-AI76-AI77-AI78</f>
        <v>1.7517904063223224</v>
      </c>
      <c r="AR75" s="10"/>
      <c r="AS75" s="10"/>
      <c r="AT75" s="10"/>
      <c r="AU75" s="10">
        <f>AQ75-D75</f>
        <v>-0.6982095936776778</v>
      </c>
      <c r="AV75" s="10">
        <f>AU75^2</f>
        <v>0.48749663670354787</v>
      </c>
      <c r="AW75">
        <v>3</v>
      </c>
      <c r="AX75">
        <v>5</v>
      </c>
      <c r="AY75" s="10">
        <f>F38</f>
        <v>10.76</v>
      </c>
      <c r="AZ75" s="10">
        <f>AS38</f>
        <v>11.545840564662921</v>
      </c>
      <c r="BA75" s="10">
        <f t="shared" si="35"/>
        <v>0.7858405646629212</v>
      </c>
      <c r="BB75" s="24">
        <f t="shared" si="36"/>
        <v>0.6175453930697388</v>
      </c>
      <c r="BC75" s="10">
        <f t="shared" si="37"/>
        <v>0.03929202823314606</v>
      </c>
    </row>
    <row r="76" spans="1:55" ht="12.75">
      <c r="A76" s="8" t="s">
        <v>10</v>
      </c>
      <c r="B76" s="26">
        <v>2.42</v>
      </c>
      <c r="C76" s="26">
        <v>1.29</v>
      </c>
      <c r="D76" s="26">
        <v>1.6</v>
      </c>
      <c r="E76" s="25">
        <v>4.4</v>
      </c>
      <c r="F76" s="26"/>
      <c r="G76" s="26"/>
      <c r="H76" s="10"/>
      <c r="I76" s="10">
        <v>0</v>
      </c>
      <c r="J76" s="10">
        <v>0</v>
      </c>
      <c r="K76" s="10">
        <v>0</v>
      </c>
      <c r="L76" s="9">
        <v>0.01</v>
      </c>
      <c r="M76" s="10"/>
      <c r="N76" s="10"/>
      <c r="O76" s="11">
        <f>SUM(B76:E76)</f>
        <v>9.71</v>
      </c>
      <c r="P76" s="11">
        <f>P75+$G$68-O76</f>
        <v>63.71</v>
      </c>
      <c r="Q76" s="11">
        <f>E76</f>
        <v>4.4</v>
      </c>
      <c r="R76" s="11">
        <f>20-AB79</f>
        <v>3.9147195706048166</v>
      </c>
      <c r="S76" s="11">
        <f t="shared" si="38"/>
        <v>0.19573597853024083</v>
      </c>
      <c r="T76" s="11">
        <f t="shared" si="39"/>
        <v>1.1239630120734827</v>
      </c>
      <c r="U76" s="11">
        <f>AJ79</f>
        <v>16.085280429395183</v>
      </c>
      <c r="V76" s="11">
        <f>(U76-Q76)^2</f>
        <v>136.54577871360607</v>
      </c>
      <c r="W76" s="11"/>
      <c r="X76" s="4">
        <v>5</v>
      </c>
      <c r="Y76" s="10">
        <f>(-AC70-SQRT(AC70^2-4*AC69*AC71))/(2*AC69)</f>
        <v>1.2404507970235363</v>
      </c>
      <c r="Z76" s="10">
        <f>$G$68*Y76/Y73</f>
        <v>2.474969254993902</v>
      </c>
      <c r="AA76" s="10">
        <f>$G$68*Y76/Y74</f>
        <v>5.142517280339569</v>
      </c>
      <c r="AB76" s="10">
        <f>$G$68*Y76/Y75</f>
        <v>10.169171787590427</v>
      </c>
      <c r="AC76" s="11"/>
      <c r="AD76" s="11"/>
      <c r="AE76" s="11"/>
      <c r="AF76" s="4">
        <v>5</v>
      </c>
      <c r="AG76" s="10">
        <f t="shared" si="40"/>
        <v>1.2404507970235363</v>
      </c>
      <c r="AH76" s="10">
        <f>Z76-(Z76*(Z79-AH79)/Z79)</f>
        <v>2.474969254993902</v>
      </c>
      <c r="AI76" s="10">
        <f>AA76-(AA76*(AA79-AI79)/AA79)</f>
        <v>5.142517280339569</v>
      </c>
      <c r="AJ76" s="10">
        <f>AB76-(AB76*(AB79-AJ79)/AB79)</f>
        <v>10.169171787590427</v>
      </c>
      <c r="AK76" s="10"/>
      <c r="AL76" s="10"/>
      <c r="AM76" s="11"/>
      <c r="AN76" s="8" t="s">
        <v>10</v>
      </c>
      <c r="AO76" s="10">
        <f>4*(AG75-AG76-AG77-AG78)</f>
        <v>1.9100934128799911</v>
      </c>
      <c r="AP76" s="10">
        <f>2*(AH75-AH76-AH77-AH78)</f>
        <v>1.9055259919973495</v>
      </c>
      <c r="AQ76" s="10">
        <f>AI75-AI76-AI77-AI78</f>
        <v>1.9796610245178006</v>
      </c>
      <c r="AR76" s="9">
        <f>$G$68-AJ76-AJ77-AJ78</f>
        <v>3.914719570604817</v>
      </c>
      <c r="AS76" s="10"/>
      <c r="AT76" s="10"/>
      <c r="AU76" s="10">
        <f>AR76-E76</f>
        <v>-0.48528042939518334</v>
      </c>
      <c r="AV76" s="10">
        <f>AU76^2</f>
        <v>0.23549709515397352</v>
      </c>
      <c r="AW76">
        <v>3</v>
      </c>
      <c r="AX76">
        <v>6</v>
      </c>
      <c r="AY76" s="10">
        <f>F39</f>
        <v>4.59</v>
      </c>
      <c r="AZ76" s="10">
        <f>AS39</f>
        <v>3.1212071761159192</v>
      </c>
      <c r="BA76" s="10">
        <f t="shared" si="35"/>
        <v>-1.4687928238840806</v>
      </c>
      <c r="BB76" s="24">
        <f t="shared" si="36"/>
        <v>2.157352359493372</v>
      </c>
      <c r="BC76" s="10">
        <f t="shared" si="37"/>
        <v>-0.07343964119420403</v>
      </c>
    </row>
    <row r="77" spans="1:55" ht="12.75">
      <c r="A77" s="8" t="s">
        <v>11</v>
      </c>
      <c r="B77" s="26">
        <v>4.92</v>
      </c>
      <c r="C77" s="26">
        <v>3.57</v>
      </c>
      <c r="D77" s="26">
        <v>2.71</v>
      </c>
      <c r="E77" s="26">
        <v>4.85</v>
      </c>
      <c r="F77" s="25">
        <v>9.16</v>
      </c>
      <c r="G77" s="26"/>
      <c r="H77" s="10"/>
      <c r="I77" s="10">
        <v>0</v>
      </c>
      <c r="J77" s="10">
        <v>0.01</v>
      </c>
      <c r="K77" s="10">
        <v>0.02</v>
      </c>
      <c r="L77" s="10">
        <v>0.03</v>
      </c>
      <c r="M77" s="9">
        <v>0.06</v>
      </c>
      <c r="N77" s="10"/>
      <c r="O77" s="11">
        <f>SUM(B77:F77)</f>
        <v>25.209999999999997</v>
      </c>
      <c r="P77" s="11">
        <f>P76+$G$68-O77</f>
        <v>58.500000000000014</v>
      </c>
      <c r="Q77" s="11">
        <f>F77</f>
        <v>9.16</v>
      </c>
      <c r="R77" s="11">
        <f>20-AC79</f>
        <v>8.364620511132951</v>
      </c>
      <c r="S77" s="11">
        <f t="shared" si="38"/>
        <v>0.4182310255566476</v>
      </c>
      <c r="T77" s="11">
        <f t="shared" si="39"/>
        <v>1.0950885324454867</v>
      </c>
      <c r="U77" s="11">
        <f>AK79</f>
        <v>11.635379488867049</v>
      </c>
      <c r="V77" s="11">
        <f>(U77-Q77)^2</f>
        <v>6.12750361390369</v>
      </c>
      <c r="W77" s="11"/>
      <c r="X77" s="4">
        <v>6</v>
      </c>
      <c r="Y77" s="10">
        <f>(-AD70-SQRT(AD70^2-4*AD69*AD71))/(2*AD69)</f>
        <v>0.4568711387002828</v>
      </c>
      <c r="Z77" s="11">
        <f>Z76*Y77/Y76</f>
        <v>0.9115573342291946</v>
      </c>
      <c r="AA77" s="11">
        <f>AA76*Y77/Y76</f>
        <v>1.8940434649178925</v>
      </c>
      <c r="AB77" s="11">
        <f>AB76*Y77/Y76</f>
        <v>3.7454134459692523</v>
      </c>
      <c r="AC77" s="11">
        <f>$G$68*Y77/Y76</f>
        <v>7.366211377291962</v>
      </c>
      <c r="AD77" s="11"/>
      <c r="AE77" s="11"/>
      <c r="AF77" s="4">
        <v>6</v>
      </c>
      <c r="AG77" s="10">
        <f t="shared" si="40"/>
        <v>0.4568711387002828</v>
      </c>
      <c r="AH77" s="10">
        <f>Z77-(Z77*(Z79-AH79)/Z79)</f>
        <v>0.9115573342291946</v>
      </c>
      <c r="AI77" s="10">
        <f>AA77-(AA77*(AA79-AI79)/AA79)</f>
        <v>1.8940434649178925</v>
      </c>
      <c r="AJ77" s="10">
        <f>AB77-(AB77*(AB79-AJ79)/AB79)</f>
        <v>3.7454134459692523</v>
      </c>
      <c r="AK77" s="10">
        <f>AC77-(AC77*(AC79-AK79)/AC79)</f>
        <v>7.366211377291962</v>
      </c>
      <c r="AL77" s="10"/>
      <c r="AM77" s="11"/>
      <c r="AN77" s="8" t="s">
        <v>11</v>
      </c>
      <c r="AO77" s="10">
        <f>8*(AG76-AG77-AG78)</f>
        <v>4.150360071933715</v>
      </c>
      <c r="AP77" s="10">
        <f>4*(AH76-AH77-AH78)</f>
        <v>4.140435718949086</v>
      </c>
      <c r="AQ77" s="10">
        <f>2*(AI76-AI77-AI78)</f>
        <v>4.301520552198399</v>
      </c>
      <c r="AR77" s="10">
        <f>AJ76-AJ77-AJ78</f>
        <v>4.253063145785671</v>
      </c>
      <c r="AS77" s="9">
        <f>$G$68-AK77-AK78</f>
        <v>8.364620511132951</v>
      </c>
      <c r="AT77" s="10"/>
      <c r="AU77" s="10">
        <f>AS77-F77</f>
        <v>-0.7953794888670487</v>
      </c>
      <c r="AV77" s="10">
        <f>AU77^2</f>
        <v>0.6326285313104076</v>
      </c>
      <c r="AW77">
        <v>3</v>
      </c>
      <c r="AX77">
        <v>7</v>
      </c>
      <c r="AY77" s="10">
        <f>F40</f>
        <v>4.65</v>
      </c>
      <c r="AZ77" s="10">
        <f>AS40</f>
        <v>5.332952259221159</v>
      </c>
      <c r="BA77" s="10">
        <f t="shared" si="35"/>
        <v>0.6829522592211585</v>
      </c>
      <c r="BB77" s="24">
        <f t="shared" si="36"/>
        <v>0.46642378837528453</v>
      </c>
      <c r="BC77" s="10">
        <f t="shared" si="37"/>
        <v>0.03414761296105793</v>
      </c>
    </row>
    <row r="78" spans="1:55" ht="12.75">
      <c r="A78" s="8" t="s">
        <v>12</v>
      </c>
      <c r="B78" s="26">
        <v>0.28</v>
      </c>
      <c r="C78" s="26">
        <v>3.95</v>
      </c>
      <c r="D78" s="26">
        <v>3.47</v>
      </c>
      <c r="E78" s="26">
        <v>2.55</v>
      </c>
      <c r="F78" s="26">
        <v>4.33</v>
      </c>
      <c r="G78" s="25">
        <v>9.4</v>
      </c>
      <c r="H78" s="9"/>
      <c r="I78" s="10">
        <v>0.01</v>
      </c>
      <c r="J78" s="10">
        <v>0.02</v>
      </c>
      <c r="K78" s="10">
        <v>0.02</v>
      </c>
      <c r="L78" s="10">
        <v>0.02</v>
      </c>
      <c r="M78" s="10">
        <v>0.04</v>
      </c>
      <c r="N78" s="9">
        <v>0.23</v>
      </c>
      <c r="O78" s="11">
        <f>SUM(B78:G78)</f>
        <v>23.98</v>
      </c>
      <c r="P78" s="11">
        <f>P77+$G$68-O78</f>
        <v>54.52000000000001</v>
      </c>
      <c r="Q78" s="11">
        <f>G78</f>
        <v>9.4</v>
      </c>
      <c r="R78" s="11">
        <f>20-AD79</f>
        <v>8.408781956119862</v>
      </c>
      <c r="S78" s="11">
        <f t="shared" si="38"/>
        <v>0.4204390978059931</v>
      </c>
      <c r="T78" s="11">
        <f t="shared" si="39"/>
        <v>1.1178789091039203</v>
      </c>
      <c r="U78" s="11">
        <f>AL79</f>
        <v>11.591218043880138</v>
      </c>
      <c r="V78" s="11">
        <f>(U78-Q78)^2</f>
        <v>4.801436515825897</v>
      </c>
      <c r="W78" s="11"/>
      <c r="X78" s="4">
        <v>7</v>
      </c>
      <c r="Y78" s="10">
        <f>P73-Y73-Y74-Y75-Y76-Y77</f>
        <v>0.26478464933153917</v>
      </c>
      <c r="Z78" s="22">
        <f>Z76*Y78/Y76</f>
        <v>0.5283029910274359</v>
      </c>
      <c r="AA78" s="22">
        <f>AA76*Y78/Y76</f>
        <v>1.0977135393224768</v>
      </c>
      <c r="AB78" s="22">
        <f>AB76*Y78/Y76</f>
        <v>2.170695195835504</v>
      </c>
      <c r="AC78" s="22">
        <f>$G$68*Y78/Y76</f>
        <v>4.2691681115750875</v>
      </c>
      <c r="AD78" s="22">
        <f>$G$68*Y78/Y77</f>
        <v>11.591218043880138</v>
      </c>
      <c r="AE78" s="11"/>
      <c r="AF78" s="4">
        <v>7</v>
      </c>
      <c r="AG78" s="10">
        <f t="shared" si="40"/>
        <v>0.26478464933153917</v>
      </c>
      <c r="AH78" s="10">
        <f>Z78-(Z78*(Z79-AH79)/Z79)</f>
        <v>0.5283029910274359</v>
      </c>
      <c r="AI78" s="10">
        <f>AA78-(AA78*(AA79-AI79)/AA79)</f>
        <v>1.0977135393224768</v>
      </c>
      <c r="AJ78" s="10">
        <f>AB78-(AB78*(AB79-AJ79)/AB79)</f>
        <v>2.170695195835504</v>
      </c>
      <c r="AK78" s="10">
        <f>AC78-(AC78*(AC79-AK79)/AC79)</f>
        <v>4.2691681115750875</v>
      </c>
      <c r="AL78" s="10">
        <f>AD78-(AD78*(AD79-AL79)/AD79)</f>
        <v>11.591218043880138</v>
      </c>
      <c r="AM78" s="11"/>
      <c r="AN78" s="8" t="s">
        <v>12</v>
      </c>
      <c r="AO78" s="10">
        <f>16*(AG77-AG78)</f>
        <v>3.073383829899898</v>
      </c>
      <c r="AP78" s="10">
        <f>8*(AH77-AH78)</f>
        <v>3.0660347456140693</v>
      </c>
      <c r="AQ78" s="10">
        <f>4*(AI77-AI78)</f>
        <v>3.185319702381663</v>
      </c>
      <c r="AR78" s="10">
        <f>2*(AJ77-AJ78)</f>
        <v>3.1494365002674964</v>
      </c>
      <c r="AS78" s="10">
        <f>AK77-AK78</f>
        <v>3.0970432657168745</v>
      </c>
      <c r="AT78" s="9">
        <f>$G$68-AL78</f>
        <v>8.408781956119862</v>
      </c>
      <c r="AU78" s="10">
        <f>AT78-G78</f>
        <v>-0.9912180438801386</v>
      </c>
      <c r="AV78" s="10">
        <f>AU78^2</f>
        <v>0.9825132105135683</v>
      </c>
      <c r="AW78">
        <v>3</v>
      </c>
      <c r="AX78">
        <v>6</v>
      </c>
      <c r="AY78" s="10">
        <f>G39</f>
        <v>9.63</v>
      </c>
      <c r="AZ78" s="10">
        <f>AT39</f>
        <v>10.785687506528589</v>
      </c>
      <c r="BA78" s="10">
        <f t="shared" si="35"/>
        <v>1.1556875065285883</v>
      </c>
      <c r="BB78" s="24">
        <f t="shared" si="36"/>
        <v>1.3356136127462659</v>
      </c>
      <c r="BC78" s="10">
        <f t="shared" si="37"/>
        <v>0.05778437532642942</v>
      </c>
    </row>
    <row r="79" spans="1:55" ht="12.75">
      <c r="A79" s="12" t="s">
        <v>13</v>
      </c>
      <c r="B79" s="28">
        <v>10.01</v>
      </c>
      <c r="C79" s="28">
        <v>9.43</v>
      </c>
      <c r="D79" s="28">
        <v>9.77</v>
      </c>
      <c r="E79" s="28">
        <v>8.2</v>
      </c>
      <c r="F79" s="28">
        <v>6.51</v>
      </c>
      <c r="G79" s="28">
        <v>10.6</v>
      </c>
      <c r="H79" s="13"/>
      <c r="I79" s="13"/>
      <c r="J79" s="13"/>
      <c r="K79" s="13"/>
      <c r="L79" s="13"/>
      <c r="M79" s="13"/>
      <c r="N79" s="13"/>
      <c r="O79" s="14">
        <f>SUM(B79:G79)</f>
        <v>54.519999999999996</v>
      </c>
      <c r="P79" s="14"/>
      <c r="Q79" s="14"/>
      <c r="R79" s="14"/>
      <c r="S79" s="14"/>
      <c r="T79" s="14"/>
      <c r="U79" s="14"/>
      <c r="V79" s="14"/>
      <c r="W79" s="22"/>
      <c r="X79" s="16" t="s">
        <v>18</v>
      </c>
      <c r="Y79" s="10">
        <f aca="true" t="shared" si="41" ref="Y79:AD79">SUM(Y73:Y78)</f>
        <v>19.25</v>
      </c>
      <c r="Z79" s="10">
        <f t="shared" si="41"/>
        <v>18.407938688864117</v>
      </c>
      <c r="AA79" s="10">
        <f t="shared" si="41"/>
        <v>18.24820959367768</v>
      </c>
      <c r="AB79" s="10">
        <f t="shared" si="41"/>
        <v>16.085280429395183</v>
      </c>
      <c r="AC79" s="10">
        <f t="shared" si="41"/>
        <v>11.635379488867049</v>
      </c>
      <c r="AD79" s="10">
        <f t="shared" si="41"/>
        <v>11.591218043880138</v>
      </c>
      <c r="AE79" s="22"/>
      <c r="AF79" s="16" t="s">
        <v>18</v>
      </c>
      <c r="AG79" s="10">
        <f t="shared" si="40"/>
        <v>19.25</v>
      </c>
      <c r="AH79" s="10">
        <f>Z79*(V68*(Z79/$G$68)^2-V68*(Z79/$G$68)+1)</f>
        <v>18.407938688864117</v>
      </c>
      <c r="AI79" s="10">
        <f>AA79*(V68*(AA79/$G$68)^2-V68*(AA79/$G$68)+1)</f>
        <v>18.24820959367768</v>
      </c>
      <c r="AJ79" s="10">
        <f>AB79*(V68*(AB79/$G$68)^2-V68*(AB79/$G$68)+1)</f>
        <v>16.085280429395183</v>
      </c>
      <c r="AK79" s="10">
        <f>AC79*(V68*(AC79/$G$68)^2-V68*(AC79/$G$68)+1)</f>
        <v>11.635379488867049</v>
      </c>
      <c r="AL79" s="10">
        <f>AD79*(V68*(AD79/$G$68)^2-V68*(AD79/$G$68)+1)</f>
        <v>11.591218043880138</v>
      </c>
      <c r="AM79" s="22"/>
      <c r="AN79" s="12" t="s">
        <v>13</v>
      </c>
      <c r="AO79" s="13">
        <f>32*AG78</f>
        <v>8.473108778609253</v>
      </c>
      <c r="AP79" s="13">
        <f>16*AH78</f>
        <v>8.452847856438975</v>
      </c>
      <c r="AQ79" s="13">
        <f>8*AI78</f>
        <v>8.781708314579815</v>
      </c>
      <c r="AR79" s="13">
        <f>4*AJ78</f>
        <v>8.682780783342016</v>
      </c>
      <c r="AS79" s="13">
        <f>2*AK78</f>
        <v>8.538336223150175</v>
      </c>
      <c r="AT79" s="13">
        <f>AL78</f>
        <v>11.591218043880138</v>
      </c>
      <c r="AW79">
        <v>3</v>
      </c>
      <c r="AX79">
        <v>7</v>
      </c>
      <c r="AY79" s="10">
        <f>G40</f>
        <v>10.37</v>
      </c>
      <c r="AZ79" s="10">
        <f>AT40</f>
        <v>9.214312493471411</v>
      </c>
      <c r="BA79" s="10">
        <f t="shared" si="35"/>
        <v>-1.1556875065285883</v>
      </c>
      <c r="BB79" s="24">
        <f t="shared" si="36"/>
        <v>1.3356136127462659</v>
      </c>
      <c r="BC79" s="10">
        <f t="shared" si="37"/>
        <v>-0.05778437532642942</v>
      </c>
    </row>
    <row r="80" spans="32:55" ht="12.75">
      <c r="AF80" s="16"/>
      <c r="AW80">
        <v>4</v>
      </c>
      <c r="AX80">
        <v>2</v>
      </c>
      <c r="AY80" s="10">
        <f aca="true" t="shared" si="42" ref="AY80:AY85">B48</f>
        <v>3.42</v>
      </c>
      <c r="AZ80" s="10">
        <f aca="true" t="shared" si="43" ref="AZ80:AZ85">AO48</f>
        <v>1.8569125591734659</v>
      </c>
      <c r="BA80" s="10">
        <f t="shared" si="35"/>
        <v>-1.563087440826534</v>
      </c>
      <c r="BB80" s="24">
        <f t="shared" si="36"/>
        <v>2.4432423476696434</v>
      </c>
      <c r="BC80" s="10">
        <f t="shared" si="37"/>
        <v>-0.0781543720413267</v>
      </c>
    </row>
    <row r="81" spans="1:55" ht="12.75">
      <c r="A81" s="2" t="s">
        <v>50</v>
      </c>
      <c r="G81">
        <v>20</v>
      </c>
      <c r="O81" s="18" t="s">
        <v>22</v>
      </c>
      <c r="P81" s="20">
        <f>AVERAGE(S87:S91)*$G$81</f>
        <v>8.098968164948527</v>
      </c>
      <c r="Q81" s="8" t="s">
        <v>24</v>
      </c>
      <c r="R81">
        <f>P81/$G$81</f>
        <v>0.40494840824742634</v>
      </c>
      <c r="T81" s="19">
        <f>(P82-1)/(R81^2-R81)</f>
        <v>-1.937431358017288</v>
      </c>
      <c r="U81" s="18" t="s">
        <v>20</v>
      </c>
      <c r="V81" s="19">
        <v>0</v>
      </c>
      <c r="W81" s="19"/>
      <c r="Y81" s="11"/>
      <c r="Z81" s="4" t="s">
        <v>32</v>
      </c>
      <c r="AA81" s="4" t="s">
        <v>33</v>
      </c>
      <c r="AB81" s="4" t="s">
        <v>34</v>
      </c>
      <c r="AC81" s="4" t="s">
        <v>35</v>
      </c>
      <c r="AD81" s="4" t="s">
        <v>36</v>
      </c>
      <c r="AW81">
        <v>4</v>
      </c>
      <c r="AX81">
        <v>3</v>
      </c>
      <c r="AY81" s="10">
        <f t="shared" si="42"/>
        <v>1.39</v>
      </c>
      <c r="AZ81" s="10">
        <f t="shared" si="43"/>
        <v>1.100586940864428</v>
      </c>
      <c r="BA81" s="10">
        <f t="shared" si="35"/>
        <v>-0.2894130591355719</v>
      </c>
      <c r="BB81" s="24">
        <f t="shared" si="36"/>
        <v>0.08375991879821004</v>
      </c>
      <c r="BC81" s="10">
        <f t="shared" si="37"/>
        <v>-0.014470652956778596</v>
      </c>
    </row>
    <row r="82" spans="1:5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2" t="s">
        <v>23</v>
      </c>
      <c r="P82" s="3">
        <f>Q86/P81</f>
        <v>1.4668535248002799</v>
      </c>
      <c r="Q82" s="12"/>
      <c r="R82" s="3"/>
      <c r="S82" s="3"/>
      <c r="T82" s="3"/>
      <c r="U82" s="17" t="s">
        <v>21</v>
      </c>
      <c r="V82" s="13">
        <f>SUM(V87:V91)</f>
        <v>100.61991962589231</v>
      </c>
      <c r="W82" s="19"/>
      <c r="Y82" s="21" t="s">
        <v>37</v>
      </c>
      <c r="Z82">
        <f>-2</f>
        <v>-2</v>
      </c>
      <c r="AA82">
        <f>-2*$G$81-4*Y86</f>
        <v>-60.43067007320878</v>
      </c>
      <c r="AB82">
        <f>-2*$G$81*Y86-4*$G$81*Y87-8*Y86*Y87</f>
        <v>-424.75598776538453</v>
      </c>
      <c r="AC82">
        <f>-2*$G$81*Y86*Y87-4*$G$81*Y86*Y88-8*$G$81*Y87*Y88-16*Y86*Y87*Y88</f>
        <v>-999.7550475841942</v>
      </c>
      <c r="AD82">
        <f>-2*$G$81*Y86*Y87*Y88-4*$G$81*Y86*Y87*Y89-8*$G$81*Y86*Y88*Y89-16*$G$81*Y87*Y88*Y89-32*Y86*Y87*Y88*Y89</f>
        <v>-855.8770809853003</v>
      </c>
      <c r="AE82" s="19"/>
      <c r="AM82" s="19"/>
      <c r="AN82" s="3"/>
      <c r="AO82" s="3"/>
      <c r="AP82" s="3"/>
      <c r="AQ82" s="3"/>
      <c r="AR82" s="3"/>
      <c r="AS82" s="3"/>
      <c r="AT82" s="3"/>
      <c r="AW82">
        <v>4</v>
      </c>
      <c r="AX82">
        <v>4</v>
      </c>
      <c r="AY82" s="10">
        <f t="shared" si="42"/>
        <v>2.8</v>
      </c>
      <c r="AZ82" s="10">
        <f t="shared" si="43"/>
        <v>2.792595385283402</v>
      </c>
      <c r="BA82" s="10">
        <f t="shared" si="35"/>
        <v>-0.007404614716597813</v>
      </c>
      <c r="BB82" s="24">
        <f t="shared" si="36"/>
        <v>5.4828319101256904E-05</v>
      </c>
      <c r="BC82" s="10">
        <f t="shared" si="37"/>
        <v>-0.00037023073582989066</v>
      </c>
    </row>
    <row r="83" spans="25:55" ht="12.75">
      <c r="Y83" s="21" t="s">
        <v>38</v>
      </c>
      <c r="Z83">
        <f>2*P86-$G$81-P87</f>
        <v>-21.58</v>
      </c>
      <c r="AA83">
        <f>2*P86*$G$81+4*P86*Y86-P88*Y86-2*$G$81*Y86-$G$81*Y86-4*Y86^2</f>
        <v>-58.48279308456007</v>
      </c>
      <c r="AB83">
        <f>2*P86*$G$81*Y86-2*$G$81*Y86^2+4*P86*$G$81*Y87+8*P86*Y86*Y87-P89*Y86*Y87-4*$G$81*Y86*Y87-2*$G$81*Y86*Y87-$G$81*Y86*Y87-8*Y86^2*Y87-4*$G$81*Y87^2-8*Y86*Y87^2</f>
        <v>13.601812008001787</v>
      </c>
      <c r="AC83">
        <f>2*P86*$G$81*Y86*Y87-2*$G$81*Y86^2*Y87-2*$G$81*Y86*Y87^2+4*P86*$G$81*Y86*Y88-4*$G$81*Y86^2*Y88+8*P86*$G$81*Y87*Y88+16*P86*Y86*Y87*Y88-P90*Y86*Y87*Y88-8*$G$81*Y86*Y87*Y88-4*$G$81*Y86*Y87*Y88-2*$G$81*Y86*Y87*Y88-$G$81*Y86*Y87*Y88-16*Y86^2*Y87*Y88-8*$G$81*Y87^2*Y88-16*Y86*Y87^2*Y88-4*$G$81*Y86*Y88^2-8*$G$81*Y87*Y88^2-16*Y86*Y87*Y88^2</f>
        <v>77.23120459552648</v>
      </c>
      <c r="AD83">
        <f>2*P86*$G$81*Y86*Y87*Y88-2*$G$81*Y86^2*Y87*Y88-2*$G$81*Y86*Y87^2*Y88-2*$G$81*Y86*Y87*Y88^2+4*P86*$G$81*Y86*Y87*Y89-4*$G$81*Y86^2*Y87*Y89-4*$G$81*Y86*Y87^2*Y89+8*P86*$G$81*Y86*Y88*Y89-8*$G$81*Y86^2*Y88*Y89+16*P86*$G$81*Y87*Y88*Y89+32*P86*Y86*Y87*Y88*Y89-P91*Y86*Y87*Y88*Y89-16*$G$81*Y86*Y87*Y88*Y89-8*$G$81*Y86*Y87*Y88*Y89-4*$G$81*Y86*Y87*Y88*Y89-2*$G$81*Y86*Y87*Y88*Y89-$G$81*Y86*Y87*Y88*Y89-32*Y86^2*Y87*Y88*Y89-16*$G$81*Y87^2*Y88*Y89-32*Y86*Y87^2*Y88*Y89-8*$G$81*Y86*Y88^2*Y89-16*$G$81*Y87*Y88^2*Y89-32*Y86*Y87*Y88^2*Y89-4*$G$81*Y86*Y87*Y89^2-8*$G$81*Y86*Y88*Y89^2-16*$G$81*Y87*Y88*Y89^2-32*Y86*Y87*Y88*Y89^2</f>
        <v>23.9112005745578</v>
      </c>
      <c r="AW83">
        <v>4</v>
      </c>
      <c r="AX83">
        <v>5</v>
      </c>
      <c r="AY83" s="10">
        <f t="shared" si="42"/>
        <v>4.38</v>
      </c>
      <c r="AZ83" s="10">
        <f t="shared" si="43"/>
        <v>4.142960237751197</v>
      </c>
      <c r="BA83" s="10">
        <f t="shared" si="35"/>
        <v>-0.23703976224880297</v>
      </c>
      <c r="BB83" s="24">
        <f t="shared" si="36"/>
        <v>0.05618784888696904</v>
      </c>
      <c r="BC83" s="10">
        <f t="shared" si="37"/>
        <v>-0.011851988112440148</v>
      </c>
    </row>
    <row r="84" spans="1:55" ht="15.75">
      <c r="A84" s="4" t="s">
        <v>1</v>
      </c>
      <c r="B84" s="5" t="s">
        <v>2</v>
      </c>
      <c r="C84" s="5"/>
      <c r="D84" s="5"/>
      <c r="E84" s="5"/>
      <c r="F84" s="5"/>
      <c r="G84" s="5"/>
      <c r="H84" s="6"/>
      <c r="I84" s="5" t="s">
        <v>3</v>
      </c>
      <c r="J84" s="5"/>
      <c r="K84" s="5"/>
      <c r="L84" s="5"/>
      <c r="M84" s="5"/>
      <c r="N84" s="5"/>
      <c r="O84" s="4" t="s">
        <v>4</v>
      </c>
      <c r="P84" s="4" t="s">
        <v>14</v>
      </c>
      <c r="Q84" s="4" t="s">
        <v>5</v>
      </c>
      <c r="R84" s="4" t="s">
        <v>40</v>
      </c>
      <c r="S84" s="4" t="s">
        <v>42</v>
      </c>
      <c r="T84" s="4" t="s">
        <v>16</v>
      </c>
      <c r="U84" s="4" t="s">
        <v>15</v>
      </c>
      <c r="V84" s="4"/>
      <c r="W84" s="4"/>
      <c r="Y84" s="21" t="s">
        <v>39</v>
      </c>
      <c r="Z84">
        <f>$G$81*P86</f>
        <v>162.39999999999998</v>
      </c>
      <c r="AA84">
        <f>P86*$G$81*Y86-$G$81*Y86^2</f>
        <v>307.7198554218903</v>
      </c>
      <c r="AB84">
        <f>P86*$G$81*Y86*Y87-$G$81*Y86^2*Y87-$G$81*Y86*Y87^2</f>
        <v>221.42023697113325</v>
      </c>
      <c r="AC84">
        <f>P86*$G$81*Y86*Y87*Y88-$G$81*Y86^2*Y87*Y88-$G$81*Y86*Y87^2*Y88-$G$81*Y86*Y87*Y88^2</f>
        <v>61.91641261023017</v>
      </c>
      <c r="AD84">
        <f>P86*$G$81*Y86*Y87*Y88*Y89-$G$81*Y86^2*Y87*Y88*Y89-$G$81*Y86*Y87^2*Y88*Y89-$G$81*Y86*Y87*Y88^2*Y89-$G$81*Y86*Y87*Y88*Y89^2</f>
        <v>6.37993321863703</v>
      </c>
      <c r="AE84" s="4"/>
      <c r="AM84" s="4"/>
      <c r="AN84" s="4" t="s">
        <v>1</v>
      </c>
      <c r="AO84" s="5" t="s">
        <v>31</v>
      </c>
      <c r="AP84" s="5"/>
      <c r="AQ84" s="5"/>
      <c r="AR84" s="5"/>
      <c r="AS84" s="5"/>
      <c r="AT84" s="5"/>
      <c r="AW84">
        <v>4</v>
      </c>
      <c r="AX84">
        <v>6</v>
      </c>
      <c r="AY84" s="10">
        <f t="shared" si="42"/>
        <v>0.29</v>
      </c>
      <c r="AZ84" s="10">
        <f t="shared" si="43"/>
        <v>2.6757599378984587</v>
      </c>
      <c r="BA84" s="10">
        <f t="shared" si="35"/>
        <v>2.3857599378984586</v>
      </c>
      <c r="BB84" s="24">
        <f t="shared" si="36"/>
        <v>5.691850481281257</v>
      </c>
      <c r="BC84" s="10">
        <f t="shared" si="37"/>
        <v>0.11928799689492293</v>
      </c>
    </row>
    <row r="85" spans="1:55" ht="12.75">
      <c r="A85" s="7" t="s">
        <v>6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11</v>
      </c>
      <c r="G85" s="7" t="s">
        <v>12</v>
      </c>
      <c r="H85" s="7"/>
      <c r="I85" s="7" t="s">
        <v>7</v>
      </c>
      <c r="J85" s="7" t="s">
        <v>8</v>
      </c>
      <c r="K85" s="7" t="s">
        <v>9</v>
      </c>
      <c r="L85" s="7" t="s">
        <v>10</v>
      </c>
      <c r="M85" s="7" t="s">
        <v>11</v>
      </c>
      <c r="N85" s="7" t="s">
        <v>12</v>
      </c>
      <c r="O85" s="7"/>
      <c r="P85" s="7"/>
      <c r="Q85" s="7" t="s">
        <v>41</v>
      </c>
      <c r="R85" s="7" t="s">
        <v>41</v>
      </c>
      <c r="S85" s="7" t="s">
        <v>41</v>
      </c>
      <c r="T85" s="7"/>
      <c r="U85" s="7" t="s">
        <v>41</v>
      </c>
      <c r="V85" s="7" t="s">
        <v>19</v>
      </c>
      <c r="W85" s="15"/>
      <c r="X85" s="4" t="s">
        <v>17</v>
      </c>
      <c r="Y85" s="4">
        <v>1</v>
      </c>
      <c r="Z85" s="15">
        <v>2</v>
      </c>
      <c r="AA85" s="15">
        <v>3</v>
      </c>
      <c r="AB85" s="15">
        <v>4</v>
      </c>
      <c r="AC85" s="15">
        <v>5</v>
      </c>
      <c r="AD85" s="15">
        <v>6</v>
      </c>
      <c r="AE85" s="15"/>
      <c r="AF85" s="4" t="s">
        <v>17</v>
      </c>
      <c r="AG85" s="4">
        <v>1</v>
      </c>
      <c r="AH85" s="15">
        <v>2</v>
      </c>
      <c r="AI85" s="15">
        <v>3</v>
      </c>
      <c r="AJ85" s="15">
        <v>4</v>
      </c>
      <c r="AK85" s="15">
        <v>5</v>
      </c>
      <c r="AL85" s="15">
        <v>6</v>
      </c>
      <c r="AM85" s="15"/>
      <c r="AN85" s="7" t="s">
        <v>6</v>
      </c>
      <c r="AO85" s="7" t="s">
        <v>7</v>
      </c>
      <c r="AP85" s="7" t="s">
        <v>8</v>
      </c>
      <c r="AQ85" s="7" t="s">
        <v>9</v>
      </c>
      <c r="AR85" s="7" t="s">
        <v>10</v>
      </c>
      <c r="AS85" s="7" t="s">
        <v>11</v>
      </c>
      <c r="AT85" s="7" t="s">
        <v>12</v>
      </c>
      <c r="AW85">
        <v>4</v>
      </c>
      <c r="AX85">
        <v>7</v>
      </c>
      <c r="AY85" s="10">
        <f t="shared" si="42"/>
        <v>6.03</v>
      </c>
      <c r="AZ85" s="10">
        <f t="shared" si="43"/>
        <v>5.741184939029047</v>
      </c>
      <c r="BA85" s="10">
        <f t="shared" si="35"/>
        <v>-0.2888150609709532</v>
      </c>
      <c r="BB85" s="24">
        <f t="shared" si="36"/>
        <v>0.08341413944365543</v>
      </c>
      <c r="BC85" s="10">
        <f t="shared" si="37"/>
        <v>-0.014440753048547661</v>
      </c>
    </row>
    <row r="86" spans="1:55" ht="12.75">
      <c r="A86" s="8" t="s">
        <v>7</v>
      </c>
      <c r="B86" s="25">
        <v>11.88</v>
      </c>
      <c r="C86" s="26"/>
      <c r="D86" s="26"/>
      <c r="E86" s="26"/>
      <c r="F86" s="26"/>
      <c r="G86" s="26"/>
      <c r="H86" s="10"/>
      <c r="I86" s="9">
        <v>0</v>
      </c>
      <c r="J86" s="10"/>
      <c r="K86" s="10"/>
      <c r="L86" s="10"/>
      <c r="M86" s="10"/>
      <c r="N86" s="10"/>
      <c r="O86" s="11">
        <f>B86</f>
        <v>11.88</v>
      </c>
      <c r="P86" s="11">
        <f>$G$81-O86</f>
        <v>8.12</v>
      </c>
      <c r="Q86" s="11">
        <f>$B86</f>
        <v>11.88</v>
      </c>
      <c r="R86" s="11">
        <f>20-Y92</f>
        <v>11.88</v>
      </c>
      <c r="S86" s="11">
        <f aca="true" t="shared" si="44" ref="S86:S91">R86/$G$81</f>
        <v>0.5940000000000001</v>
      </c>
      <c r="T86" s="11">
        <f aca="true" t="shared" si="45" ref="T86:T91">Q86/R86</f>
        <v>1</v>
      </c>
      <c r="U86" s="11">
        <f>AG92</f>
        <v>8.12</v>
      </c>
      <c r="V86" s="11"/>
      <c r="W86" s="11"/>
      <c r="X86" s="4">
        <v>2</v>
      </c>
      <c r="Y86" s="10">
        <f>(-Z83-SQRT(Z83^2-4*Z82*Z84))/(2*Z82)</f>
        <v>5.107667518302195</v>
      </c>
      <c r="Z86" s="10"/>
      <c r="AA86" s="10"/>
      <c r="AB86" s="10"/>
      <c r="AC86" s="10"/>
      <c r="AD86" s="10"/>
      <c r="AE86" s="11"/>
      <c r="AF86" s="4">
        <v>2</v>
      </c>
      <c r="AG86" s="10">
        <f aca="true" t="shared" si="46" ref="AG86:AG92">Y86</f>
        <v>5.107667518302195</v>
      </c>
      <c r="AH86" s="10"/>
      <c r="AI86" s="10"/>
      <c r="AJ86" s="10"/>
      <c r="AK86" s="10"/>
      <c r="AL86" s="10"/>
      <c r="AM86" s="11"/>
      <c r="AN86" s="8" t="s">
        <v>7</v>
      </c>
      <c r="AO86" s="9">
        <f>$G$81-AG86-AG87-AG88-AG89-AG90-AG91</f>
        <v>11.88</v>
      </c>
      <c r="AP86" s="10"/>
      <c r="AQ86" s="10"/>
      <c r="AR86" s="10"/>
      <c r="AS86" s="10"/>
      <c r="AT86" s="10"/>
      <c r="AW86">
        <v>4</v>
      </c>
      <c r="AX86">
        <v>2</v>
      </c>
      <c r="AY86" s="10">
        <f aca="true" t="shared" si="47" ref="AY86:AY91">C48</f>
        <v>2.12</v>
      </c>
      <c r="AZ86" s="10">
        <f aca="true" t="shared" si="48" ref="AZ86:AZ91">AP48</f>
        <v>3.6830874408265317</v>
      </c>
      <c r="BA86" s="10">
        <f t="shared" si="35"/>
        <v>1.5630874408265316</v>
      </c>
      <c r="BB86" s="24">
        <f t="shared" si="36"/>
        <v>2.443242347669636</v>
      </c>
      <c r="BC86" s="10">
        <f t="shared" si="37"/>
        <v>0.07815437204132658</v>
      </c>
    </row>
    <row r="87" spans="1:55" ht="12.75">
      <c r="A87" s="8" t="s">
        <v>8</v>
      </c>
      <c r="B87" s="26">
        <v>1.87</v>
      </c>
      <c r="C87" s="25">
        <v>8.43</v>
      </c>
      <c r="D87" s="26"/>
      <c r="E87" s="26"/>
      <c r="F87" s="26"/>
      <c r="G87" s="26"/>
      <c r="H87" s="10"/>
      <c r="I87" s="10">
        <v>0</v>
      </c>
      <c r="J87" s="9">
        <v>0</v>
      </c>
      <c r="K87" s="10"/>
      <c r="L87" s="10"/>
      <c r="M87" s="10"/>
      <c r="N87" s="10"/>
      <c r="O87" s="11">
        <f>SUM(B87:C87)</f>
        <v>10.3</v>
      </c>
      <c r="P87" s="11">
        <f>P86+$G$81-O87</f>
        <v>17.819999999999997</v>
      </c>
      <c r="Q87" s="11">
        <f>C87</f>
        <v>8.43</v>
      </c>
      <c r="R87" s="11">
        <f>20-Z92</f>
        <v>8.204664963395608</v>
      </c>
      <c r="S87" s="11">
        <f t="shared" si="44"/>
        <v>0.4102332481697804</v>
      </c>
      <c r="T87" s="11">
        <f t="shared" si="45"/>
        <v>1.0274642581518811</v>
      </c>
      <c r="U87" s="11">
        <f>AH92</f>
        <v>11.795335036604392</v>
      </c>
      <c r="V87" s="11">
        <f>(U87-Q87)^2</f>
        <v>11.325479908597087</v>
      </c>
      <c r="W87" s="11"/>
      <c r="X87" s="4">
        <v>3</v>
      </c>
      <c r="Y87" s="10">
        <f>(-AA83-SQRT(AA83^2-4*AA82*AA84))/(2*AA82)</f>
        <v>1.8239851284640174</v>
      </c>
      <c r="Z87" s="10">
        <f>$G$81*Y87/Y86</f>
        <v>7.142145106071101</v>
      </c>
      <c r="AA87" s="10"/>
      <c r="AB87" s="10"/>
      <c r="AC87" s="10"/>
      <c r="AD87" s="10"/>
      <c r="AE87" s="11"/>
      <c r="AF87" s="4">
        <v>3</v>
      </c>
      <c r="AG87" s="10">
        <f t="shared" si="46"/>
        <v>1.8239851284640174</v>
      </c>
      <c r="AH87" s="10">
        <f>Z87-(Z87*(Z92-AH92)/Z92)</f>
        <v>7.142145106071101</v>
      </c>
      <c r="AI87" s="10"/>
      <c r="AJ87" s="10"/>
      <c r="AK87" s="10"/>
      <c r="AL87" s="10"/>
      <c r="AM87" s="11"/>
      <c r="AN87" s="8" t="s">
        <v>8</v>
      </c>
      <c r="AO87" s="10">
        <f>AG86-AG87-AG88-AG89-AG90-AG91</f>
        <v>2.0953350366043906</v>
      </c>
      <c r="AP87" s="9">
        <f>$G$81-AH87-AH88-AH89-AH90-AH91</f>
        <v>8.204664963395608</v>
      </c>
      <c r="AQ87" s="10"/>
      <c r="AR87" s="10"/>
      <c r="AS87" s="10"/>
      <c r="AT87" s="10"/>
      <c r="AU87" s="10">
        <f>AP87-C87</f>
        <v>-0.2253350366043918</v>
      </c>
      <c r="AV87" s="10">
        <f>AU87^2</f>
        <v>0.05077587872150259</v>
      </c>
      <c r="AW87">
        <v>4</v>
      </c>
      <c r="AX87">
        <v>3</v>
      </c>
      <c r="AY87" s="10">
        <f t="shared" si="47"/>
        <v>1.38</v>
      </c>
      <c r="AZ87" s="10">
        <f t="shared" si="48"/>
        <v>1.0914778726144636</v>
      </c>
      <c r="BA87" s="10">
        <f t="shared" si="35"/>
        <v>-0.2885221273855363</v>
      </c>
      <c r="BB87" s="24">
        <f t="shared" si="36"/>
        <v>0.08324501799107563</v>
      </c>
      <c r="BC87" s="10">
        <f t="shared" si="37"/>
        <v>-0.014426106369276815</v>
      </c>
    </row>
    <row r="88" spans="1:55" ht="12.75">
      <c r="A88" s="8" t="s">
        <v>9</v>
      </c>
      <c r="B88" s="26">
        <v>0.97</v>
      </c>
      <c r="C88" s="26">
        <v>2.82</v>
      </c>
      <c r="D88" s="25">
        <v>6.94</v>
      </c>
      <c r="E88" s="26"/>
      <c r="F88" s="26"/>
      <c r="G88" s="26"/>
      <c r="H88" s="10"/>
      <c r="I88" s="10">
        <v>0</v>
      </c>
      <c r="J88" s="10">
        <v>0</v>
      </c>
      <c r="K88" s="9">
        <v>0</v>
      </c>
      <c r="L88" s="10"/>
      <c r="M88" s="10"/>
      <c r="N88" s="10"/>
      <c r="O88" s="11">
        <f>SUM(B88:D88)</f>
        <v>10.73</v>
      </c>
      <c r="P88" s="11">
        <f>P87+$G$81-O88</f>
        <v>27.089999999999993</v>
      </c>
      <c r="Q88" s="11">
        <f>D88</f>
        <v>6.94</v>
      </c>
      <c r="R88" s="11">
        <f>20-AA92</f>
        <v>6.9697692740017345</v>
      </c>
      <c r="S88" s="11">
        <f t="shared" si="44"/>
        <v>0.34848846370008674</v>
      </c>
      <c r="T88" s="11">
        <f t="shared" si="45"/>
        <v>0.9957288006487133</v>
      </c>
      <c r="U88" s="11">
        <f>AI92</f>
        <v>13.030230725998265</v>
      </c>
      <c r="V88" s="11">
        <f>(U88-Q88)^2</f>
        <v>37.09091029589335</v>
      </c>
      <c r="W88" s="11"/>
      <c r="X88" s="4">
        <v>4</v>
      </c>
      <c r="Y88" s="10">
        <f>(-AB83-SQRT(AB83^2-4*AB82*AB84))/(2*AB82)</f>
        <v>0.7381916698837685</v>
      </c>
      <c r="Z88" s="10">
        <f>Z87*Y88/Y87</f>
        <v>2.8905235794562674</v>
      </c>
      <c r="AA88" s="10">
        <f>$G$81*Y88/Y87</f>
        <v>8.094272901286224</v>
      </c>
      <c r="AB88" s="10"/>
      <c r="AC88" s="10"/>
      <c r="AD88" s="10"/>
      <c r="AE88" s="11"/>
      <c r="AF88" s="4">
        <v>4</v>
      </c>
      <c r="AG88" s="10">
        <f t="shared" si="46"/>
        <v>0.7381916698837685</v>
      </c>
      <c r="AH88" s="10">
        <f>Z88-(Z88*(Z92-AH92)/Z92)</f>
        <v>2.8905235794562674</v>
      </c>
      <c r="AI88" s="10">
        <f>AA88-(AA88*(AA92-AI92)/AA92)</f>
        <v>8.094272901286224</v>
      </c>
      <c r="AJ88" s="10"/>
      <c r="AK88" s="10"/>
      <c r="AL88" s="10"/>
      <c r="AM88" s="11"/>
      <c r="AN88" s="8" t="s">
        <v>9</v>
      </c>
      <c r="AO88" s="10">
        <f>2*(AG87-AG88-AG89-AG90-AG91)</f>
        <v>1.2712755504604614</v>
      </c>
      <c r="AP88" s="10">
        <f>AH87-AH88-AH89-AH90-AH91</f>
        <v>2.4889551755378103</v>
      </c>
      <c r="AQ88" s="9">
        <f>$G$81-AI88-AI89-AI90-AI91</f>
        <v>6.9697692740017345</v>
      </c>
      <c r="AR88" s="10"/>
      <c r="AS88" s="10"/>
      <c r="AT88" s="10"/>
      <c r="AU88" s="10">
        <f>AQ88-D88</f>
        <v>0.029769274001734125</v>
      </c>
      <c r="AV88" s="10">
        <f>AU88^2</f>
        <v>0.0008862096745903233</v>
      </c>
      <c r="AW88">
        <v>4</v>
      </c>
      <c r="AX88">
        <v>4</v>
      </c>
      <c r="AY88" s="10">
        <f t="shared" si="47"/>
        <v>2.76</v>
      </c>
      <c r="AZ88" s="10">
        <f t="shared" si="48"/>
        <v>2.76948231623399</v>
      </c>
      <c r="BA88" s="10">
        <f t="shared" si="35"/>
        <v>0.009482316233990318</v>
      </c>
      <c r="BB88" s="24">
        <f t="shared" si="36"/>
        <v>8.991432116139633E-05</v>
      </c>
      <c r="BC88" s="10">
        <f t="shared" si="37"/>
        <v>0.00047411581169951587</v>
      </c>
    </row>
    <row r="89" spans="1:55" ht="12.75">
      <c r="A89" s="8" t="s">
        <v>10</v>
      </c>
      <c r="B89" s="26">
        <v>1.21</v>
      </c>
      <c r="C89" s="26">
        <v>2</v>
      </c>
      <c r="D89" s="26">
        <v>4.62</v>
      </c>
      <c r="E89" s="25">
        <v>6.54</v>
      </c>
      <c r="F89" s="26"/>
      <c r="G89" s="26"/>
      <c r="H89" s="10"/>
      <c r="I89" s="10">
        <v>0</v>
      </c>
      <c r="J89" s="10">
        <v>0</v>
      </c>
      <c r="K89" s="10">
        <v>0</v>
      </c>
      <c r="L89" s="9">
        <v>0</v>
      </c>
      <c r="M89" s="10"/>
      <c r="N89" s="10"/>
      <c r="O89" s="11">
        <f>SUM(B89:E89)</f>
        <v>14.370000000000001</v>
      </c>
      <c r="P89" s="11">
        <f>P88+$G$81-O89</f>
        <v>32.719999999999985</v>
      </c>
      <c r="Q89" s="11">
        <f>E89</f>
        <v>6.54</v>
      </c>
      <c r="R89" s="11">
        <f>20-AB92</f>
        <v>7.803826520532338</v>
      </c>
      <c r="S89" s="11">
        <f t="shared" si="44"/>
        <v>0.3901913260266169</v>
      </c>
      <c r="T89" s="11">
        <f t="shared" si="45"/>
        <v>0.8380504080649238</v>
      </c>
      <c r="U89" s="11">
        <f>AJ92</f>
        <v>12.196173479467662</v>
      </c>
      <c r="V89" s="11">
        <f>(U89-Q89)^2</f>
        <v>31.992298429833316</v>
      </c>
      <c r="W89" s="11"/>
      <c r="X89" s="4">
        <v>5</v>
      </c>
      <c r="Y89" s="10">
        <f>(-AC83-SQRT(AC83^2-4*AC82*AC84))/(2*AC82)</f>
        <v>0.29046524792215006</v>
      </c>
      <c r="Z89" s="10">
        <f>$G$81*Y89/Y86</f>
        <v>1.137369442632404</v>
      </c>
      <c r="AA89" s="10">
        <f>$G$81*Y89/Y87</f>
        <v>3.1849519317819395</v>
      </c>
      <c r="AB89" s="10">
        <f>$G$81*Y89/Y88</f>
        <v>7.86964306893046</v>
      </c>
      <c r="AC89" s="10"/>
      <c r="AD89" s="10"/>
      <c r="AE89" s="11"/>
      <c r="AF89" s="4">
        <v>5</v>
      </c>
      <c r="AG89" s="10">
        <f t="shared" si="46"/>
        <v>0.29046524792215006</v>
      </c>
      <c r="AH89" s="10">
        <f>Z89-(Z89*(Z92-AH92)/Z92)</f>
        <v>1.137369442632404</v>
      </c>
      <c r="AI89" s="10">
        <f>AA89-(AA89*(AA92-AI92)/AA92)</f>
        <v>3.1849519317819395</v>
      </c>
      <c r="AJ89" s="10">
        <f>AB89-(AB89*(AB92-AJ92)/AB92)</f>
        <v>7.86964306893046</v>
      </c>
      <c r="AK89" s="10"/>
      <c r="AL89" s="10"/>
      <c r="AM89" s="11"/>
      <c r="AN89" s="8" t="s">
        <v>10</v>
      </c>
      <c r="AO89" s="10">
        <f>4*(AG88-AG89-AG90-AG91)</f>
        <v>1.1521439461350012</v>
      </c>
      <c r="AP89" s="10">
        <f>2*(AH88-AH89-AH90-AH91)</f>
        <v>2.255714456758488</v>
      </c>
      <c r="AQ89" s="10">
        <f>AI88-AI89-AI90-AI91</f>
        <v>3.1583150765741834</v>
      </c>
      <c r="AR89" s="9">
        <f>$G$81-AJ89-AJ90-AJ91</f>
        <v>7.803826520532338</v>
      </c>
      <c r="AS89" s="10"/>
      <c r="AT89" s="10"/>
      <c r="AU89" s="10">
        <f>AR89-E89</f>
        <v>1.263826520532338</v>
      </c>
      <c r="AV89" s="10">
        <f>AU89^2</f>
        <v>1.5972574740008763</v>
      </c>
      <c r="AW89">
        <v>4</v>
      </c>
      <c r="AX89">
        <v>5</v>
      </c>
      <c r="AY89" s="10">
        <f t="shared" si="47"/>
        <v>4.38</v>
      </c>
      <c r="AZ89" s="10">
        <f t="shared" si="48"/>
        <v>4.108670799850977</v>
      </c>
      <c r="BA89" s="10">
        <f t="shared" si="35"/>
        <v>-0.2713292001490233</v>
      </c>
      <c r="BB89" s="24">
        <f t="shared" si="36"/>
        <v>0.07361953485350874</v>
      </c>
      <c r="BC89" s="10">
        <f t="shared" si="37"/>
        <v>-0.013566460007451164</v>
      </c>
    </row>
    <row r="90" spans="1:55" ht="12.75">
      <c r="A90" s="8" t="s">
        <v>11</v>
      </c>
      <c r="B90" s="26">
        <v>1.16</v>
      </c>
      <c r="C90" s="26">
        <v>1.73</v>
      </c>
      <c r="D90" s="26">
        <v>2.02</v>
      </c>
      <c r="E90" s="26">
        <v>4.68</v>
      </c>
      <c r="F90" s="25">
        <v>8.92</v>
      </c>
      <c r="G90" s="26"/>
      <c r="H90" s="10"/>
      <c r="I90" s="10">
        <v>0.01</v>
      </c>
      <c r="J90" s="10">
        <v>0.01</v>
      </c>
      <c r="K90" s="10">
        <v>0.01</v>
      </c>
      <c r="L90" s="10">
        <v>0.02</v>
      </c>
      <c r="M90" s="9">
        <v>0.04</v>
      </c>
      <c r="N90" s="10"/>
      <c r="O90" s="11">
        <f>SUM(B90:F90)</f>
        <v>18.509999999999998</v>
      </c>
      <c r="P90" s="11">
        <f>P89+$G$81-O90</f>
        <v>34.20999999999999</v>
      </c>
      <c r="Q90" s="11">
        <f>F90</f>
        <v>8.92</v>
      </c>
      <c r="R90" s="11">
        <f>20-AC92</f>
        <v>9.004506627197753</v>
      </c>
      <c r="S90" s="11">
        <f t="shared" si="44"/>
        <v>0.4502253313598876</v>
      </c>
      <c r="T90" s="11">
        <f t="shared" si="45"/>
        <v>0.9906150741293805</v>
      </c>
      <c r="U90" s="11">
        <f>AK92</f>
        <v>10.995493372802247</v>
      </c>
      <c r="V90" s="11">
        <f>(U90-Q90)^2</f>
        <v>4.3076727405460495</v>
      </c>
      <c r="W90" s="11"/>
      <c r="X90" s="4">
        <v>6</v>
      </c>
      <c r="Y90" s="10">
        <f>(-AD83-SQRT(AD83^2-4*AD82*AD84))/(2*AD82)</f>
        <v>0.10142962898597199</v>
      </c>
      <c r="Z90" s="10">
        <f>Z89*Y90/Y89</f>
        <v>0.397166137468899</v>
      </c>
      <c r="AA90" s="10">
        <f>AA89*Y90/Y89</f>
        <v>1.112176052349573</v>
      </c>
      <c r="AB90" s="10">
        <f>AB89*Y90/Y89</f>
        <v>2.7480567208769107</v>
      </c>
      <c r="AC90" s="10">
        <f>$G$81*Y90/Y89</f>
        <v>6.9839424655136</v>
      </c>
      <c r="AD90" s="10"/>
      <c r="AE90" s="11"/>
      <c r="AF90" s="4">
        <v>6</v>
      </c>
      <c r="AG90" s="10">
        <f t="shared" si="46"/>
        <v>0.10142962898597199</v>
      </c>
      <c r="AH90" s="10">
        <f>Z90-(Z90*(Z92-AH92)/Z92)</f>
        <v>0.397166137468899</v>
      </c>
      <c r="AI90" s="10">
        <f>AA90-(AA90*(AA92-AI92)/AA92)</f>
        <v>1.112176052349573</v>
      </c>
      <c r="AJ90" s="10">
        <f>AB90-(AB90*(AB92-AJ92)/AB92)</f>
        <v>2.7480567208769107</v>
      </c>
      <c r="AK90" s="10">
        <f>AC90-(AC90*(AC92-AK92)/AC92)</f>
        <v>6.9839424655136</v>
      </c>
      <c r="AL90" s="10"/>
      <c r="AM90" s="11"/>
      <c r="AN90" s="8" t="s">
        <v>11</v>
      </c>
      <c r="AO90" s="10">
        <f>8*(AG89-AG90-AG91)</f>
        <v>1.0461984999542553</v>
      </c>
      <c r="AP90" s="10">
        <f>4*(AH89-AH90-AH91)</f>
        <v>2.0482901367511386</v>
      </c>
      <c r="AQ90" s="10">
        <f>2*(AI89-AI90-AI91)</f>
        <v>2.867892077703676</v>
      </c>
      <c r="AR90" s="10">
        <f>AJ89-AJ90-AJ91</f>
        <v>3.543112658393259</v>
      </c>
      <c r="AS90" s="9">
        <f>$G$81-AK90-AK91</f>
        <v>9.004506627197753</v>
      </c>
      <c r="AT90" s="10"/>
      <c r="AU90" s="10">
        <f>AS90-F90</f>
        <v>0.08450662719775259</v>
      </c>
      <c r="AV90" s="10">
        <f>AU90^2</f>
        <v>0.007141370040339938</v>
      </c>
      <c r="AW90">
        <v>4</v>
      </c>
      <c r="AX90">
        <v>6</v>
      </c>
      <c r="AY90" s="10">
        <f t="shared" si="47"/>
        <v>4.23</v>
      </c>
      <c r="AZ90" s="10">
        <f t="shared" si="48"/>
        <v>2.6536138638448317</v>
      </c>
      <c r="BA90" s="10">
        <f t="shared" si="35"/>
        <v>-1.5763861361551688</v>
      </c>
      <c r="BB90" s="24">
        <f t="shared" si="36"/>
        <v>2.4849932502622223</v>
      </c>
      <c r="BC90" s="10">
        <f t="shared" si="37"/>
        <v>-0.07881930680775844</v>
      </c>
    </row>
    <row r="91" spans="1:55" ht="12.75">
      <c r="A91" s="8" t="s">
        <v>12</v>
      </c>
      <c r="B91" s="26">
        <v>0.07</v>
      </c>
      <c r="C91" s="26">
        <v>1.41</v>
      </c>
      <c r="D91" s="26">
        <v>2.02</v>
      </c>
      <c r="E91" s="26">
        <v>2.65</v>
      </c>
      <c r="F91" s="26">
        <v>4.11</v>
      </c>
      <c r="G91" s="25">
        <v>7.5</v>
      </c>
      <c r="H91" s="9"/>
      <c r="I91" s="10">
        <v>0.01</v>
      </c>
      <c r="J91" s="10">
        <v>0.02</v>
      </c>
      <c r="K91" s="10">
        <v>0.02</v>
      </c>
      <c r="L91" s="10">
        <v>0.02</v>
      </c>
      <c r="M91" s="10">
        <v>0.05</v>
      </c>
      <c r="N91" s="9">
        <v>0.23</v>
      </c>
      <c r="O91" s="11">
        <f>SUM(B91:G91)</f>
        <v>17.76</v>
      </c>
      <c r="P91" s="11">
        <f>P90+$G$81-O91</f>
        <v>36.44999999999999</v>
      </c>
      <c r="Q91" s="11">
        <f>G91</f>
        <v>7.5</v>
      </c>
      <c r="R91" s="11">
        <f>20-AD92</f>
        <v>8.512073439615206</v>
      </c>
      <c r="S91" s="11">
        <f t="shared" si="44"/>
        <v>0.42560367198076027</v>
      </c>
      <c r="T91" s="11">
        <f t="shared" si="45"/>
        <v>0.8811014206121609</v>
      </c>
      <c r="U91" s="11">
        <f>AL92</f>
        <v>11.487926560384794</v>
      </c>
      <c r="V91" s="11">
        <f>(U91-Q91)^2</f>
        <v>15.903558251022497</v>
      </c>
      <c r="W91" s="11"/>
      <c r="X91" s="4">
        <v>7</v>
      </c>
      <c r="Y91" s="10">
        <f>P86-Y86-Y87-Y88-Y89-Y90</f>
        <v>0.05826080644189616</v>
      </c>
      <c r="Z91" s="10">
        <f>Z89*Y91/Y89</f>
        <v>0.2281307709757202</v>
      </c>
      <c r="AA91" s="10">
        <f>AA89*Y91/Y89</f>
        <v>0.6388298405805286</v>
      </c>
      <c r="AB91" s="10">
        <f>AB89*Y91/Y89</f>
        <v>1.5784736896602904</v>
      </c>
      <c r="AC91" s="10">
        <f>$G$81*Y91/Y89</f>
        <v>4.0115509072886475</v>
      </c>
      <c r="AD91" s="10">
        <f>$G$81*Y91/Y90</f>
        <v>11.487926560384794</v>
      </c>
      <c r="AE91" s="11"/>
      <c r="AF91" s="4">
        <v>7</v>
      </c>
      <c r="AG91" s="10">
        <f t="shared" si="46"/>
        <v>0.05826080644189616</v>
      </c>
      <c r="AH91" s="10">
        <f>Z91-(Z91*(Z92-AH92)/Z92)</f>
        <v>0.2281307709757202</v>
      </c>
      <c r="AI91" s="10">
        <f>AA91-(AA91*(AA92-AI92)/AA92)</f>
        <v>0.6388298405805286</v>
      </c>
      <c r="AJ91" s="10">
        <f>AB91-(AB91*(AB92-AJ92)/AB92)</f>
        <v>1.5784736896602904</v>
      </c>
      <c r="AK91" s="10">
        <f>AC91-(AC91*(AC92-AK92)/AC92)</f>
        <v>4.0115509072886475</v>
      </c>
      <c r="AL91" s="10">
        <f>AD91-(AD91*(AD92-AL92)/AD92)</f>
        <v>11.487926560384794</v>
      </c>
      <c r="AM91" s="11"/>
      <c r="AN91" s="8" t="s">
        <v>12</v>
      </c>
      <c r="AO91" s="10">
        <f>16*(AG90-AG91)</f>
        <v>0.6907011607052134</v>
      </c>
      <c r="AP91" s="10">
        <f>8*(AH90-AH91)</f>
        <v>1.3522829319454304</v>
      </c>
      <c r="AQ91" s="10">
        <f>4*(AI90-AI91)</f>
        <v>1.8933848470761774</v>
      </c>
      <c r="AR91" s="10">
        <f>2*(AJ90-AJ91)</f>
        <v>2.3391660624332404</v>
      </c>
      <c r="AS91" s="10">
        <f>AK90-AK91</f>
        <v>2.9723915582249525</v>
      </c>
      <c r="AT91" s="9">
        <f>$G$81-AL91</f>
        <v>8.512073439615206</v>
      </c>
      <c r="AU91" s="10">
        <f>AT91-G91</f>
        <v>1.0120734396152056</v>
      </c>
      <c r="AV91" s="10">
        <f>AU91^2</f>
        <v>1.0242926471745533</v>
      </c>
      <c r="AW91">
        <v>4</v>
      </c>
      <c r="AX91">
        <v>7</v>
      </c>
      <c r="AY91" s="10">
        <f t="shared" si="47"/>
        <v>5.13</v>
      </c>
      <c r="AZ91" s="10">
        <f t="shared" si="48"/>
        <v>5.693667706629207</v>
      </c>
      <c r="BA91" s="10">
        <f t="shared" si="35"/>
        <v>0.5636677066292073</v>
      </c>
      <c r="BB91" s="24">
        <f t="shared" si="36"/>
        <v>0.3177212834966301</v>
      </c>
      <c r="BC91" s="10">
        <f t="shared" si="37"/>
        <v>0.028183385331460364</v>
      </c>
    </row>
    <row r="92" spans="1:55" ht="12.75">
      <c r="A92" s="12" t="s">
        <v>13</v>
      </c>
      <c r="B92" s="28">
        <v>2.84</v>
      </c>
      <c r="C92" s="28">
        <v>3.61</v>
      </c>
      <c r="D92" s="28">
        <v>4.4</v>
      </c>
      <c r="E92" s="28">
        <v>6.13</v>
      </c>
      <c r="F92" s="28">
        <v>6.97</v>
      </c>
      <c r="G92" s="28">
        <v>12.5</v>
      </c>
      <c r="H92" s="13"/>
      <c r="I92" s="13"/>
      <c r="J92" s="13"/>
      <c r="K92" s="13"/>
      <c r="L92" s="13"/>
      <c r="M92" s="13"/>
      <c r="N92" s="13"/>
      <c r="O92" s="14">
        <f>SUM(B92:G92)</f>
        <v>36.45</v>
      </c>
      <c r="P92" s="14"/>
      <c r="Q92" s="14"/>
      <c r="R92" s="14"/>
      <c r="S92" s="14"/>
      <c r="T92" s="14"/>
      <c r="U92" s="14"/>
      <c r="V92" s="14"/>
      <c r="W92" s="22"/>
      <c r="X92" s="16" t="s">
        <v>18</v>
      </c>
      <c r="Y92" s="10">
        <f aca="true" t="shared" si="49" ref="Y92:AD92">SUM(Y86:Y91)</f>
        <v>8.12</v>
      </c>
      <c r="Z92" s="10">
        <f t="shared" si="49"/>
        <v>11.795335036604392</v>
      </c>
      <c r="AA92" s="10">
        <f t="shared" si="49"/>
        <v>13.030230725998265</v>
      </c>
      <c r="AB92" s="10">
        <f t="shared" si="49"/>
        <v>12.196173479467662</v>
      </c>
      <c r="AC92" s="10">
        <f t="shared" si="49"/>
        <v>10.995493372802247</v>
      </c>
      <c r="AD92" s="10">
        <f t="shared" si="49"/>
        <v>11.487926560384794</v>
      </c>
      <c r="AE92" s="22"/>
      <c r="AF92" s="16" t="s">
        <v>18</v>
      </c>
      <c r="AG92" s="10">
        <f t="shared" si="46"/>
        <v>8.12</v>
      </c>
      <c r="AH92" s="10">
        <f>Z92*(V81*(Z92/$G$81)^2-V81*(Z92/$G$81)+1)</f>
        <v>11.795335036604392</v>
      </c>
      <c r="AI92" s="10">
        <f>AA92*(V81*(AA92/$G$81)^2-V81*(AA92/$G$81)+1)</f>
        <v>13.030230725998265</v>
      </c>
      <c r="AJ92" s="10">
        <f>AB92*(V81*(AB92/$G$81)^2-V81*(AB92/$G$81)+1)</f>
        <v>12.196173479467662</v>
      </c>
      <c r="AK92" s="10">
        <f>AC92*(V81*(AC92/$G$81)^2-V81*(AC92/$G$81)+1)</f>
        <v>10.995493372802247</v>
      </c>
      <c r="AL92" s="10">
        <f>AD92*(V81*(AD92/$G$81)^2-V81*(AD92/$G$81)+1)</f>
        <v>11.487926560384794</v>
      </c>
      <c r="AM92" s="22"/>
      <c r="AN92" s="12" t="s">
        <v>13</v>
      </c>
      <c r="AO92" s="13">
        <f>32*AG91</f>
        <v>1.864345806140677</v>
      </c>
      <c r="AP92" s="13">
        <f>16*AH91</f>
        <v>3.6500923356115234</v>
      </c>
      <c r="AQ92" s="13">
        <f>8*AI91</f>
        <v>5.110638724644229</v>
      </c>
      <c r="AR92" s="13">
        <f>4*AJ91</f>
        <v>6.313894758641162</v>
      </c>
      <c r="AS92" s="13">
        <f>2*AK91</f>
        <v>8.023101814577295</v>
      </c>
      <c r="AT92" s="13">
        <f>AL91</f>
        <v>11.487926560384794</v>
      </c>
      <c r="AW92">
        <v>4</v>
      </c>
      <c r="AX92">
        <v>3</v>
      </c>
      <c r="AY92" s="10">
        <f>D49</f>
        <v>1.93</v>
      </c>
      <c r="AZ92" s="10">
        <f>AQ49</f>
        <v>2.5079351865211192</v>
      </c>
      <c r="BA92" s="10">
        <f t="shared" si="35"/>
        <v>0.5779351865211193</v>
      </c>
      <c r="BB92" s="24">
        <f t="shared" si="36"/>
        <v>0.33400907981920097</v>
      </c>
      <c r="BC92" s="10">
        <f t="shared" si="37"/>
        <v>0.028896759326055965</v>
      </c>
    </row>
    <row r="93" spans="49:55" ht="12.75">
      <c r="AW93">
        <v>4</v>
      </c>
      <c r="AX93">
        <v>4</v>
      </c>
      <c r="AY93" s="10">
        <f>D50</f>
        <v>3.35</v>
      </c>
      <c r="AZ93" s="10">
        <f>AQ50</f>
        <v>3.1817787257078995</v>
      </c>
      <c r="BA93" s="10">
        <f t="shared" si="35"/>
        <v>-0.16822127429210054</v>
      </c>
      <c r="BB93" s="24">
        <f t="shared" si="36"/>
        <v>0.028298397124458127</v>
      </c>
      <c r="BC93" s="10">
        <f t="shared" si="37"/>
        <v>-0.008411063714605028</v>
      </c>
    </row>
    <row r="94" spans="1:55" ht="12.75">
      <c r="A94" s="2" t="s">
        <v>51</v>
      </c>
      <c r="F94" t="s">
        <v>30</v>
      </c>
      <c r="G94">
        <v>20</v>
      </c>
      <c r="O94" s="18" t="s">
        <v>22</v>
      </c>
      <c r="P94" s="20">
        <f>AVERAGE(S100:S104)*$G$94</f>
        <v>7.63023777005386</v>
      </c>
      <c r="Q94" s="8" t="s">
        <v>24</v>
      </c>
      <c r="R94">
        <f>P94/$G$94</f>
        <v>0.381511888502693</v>
      </c>
      <c r="T94" s="19">
        <f>(P95-1)/(R94^2-R94)</f>
        <v>-1.4217463543158981</v>
      </c>
      <c r="U94" s="18" t="s">
        <v>20</v>
      </c>
      <c r="V94" s="19">
        <v>0</v>
      </c>
      <c r="W94" s="19"/>
      <c r="Y94" s="11"/>
      <c r="Z94" s="4" t="s">
        <v>32</v>
      </c>
      <c r="AA94" s="4" t="s">
        <v>33</v>
      </c>
      <c r="AB94" s="4" t="s">
        <v>34</v>
      </c>
      <c r="AC94" s="4" t="s">
        <v>35</v>
      </c>
      <c r="AD94" s="4" t="s">
        <v>36</v>
      </c>
      <c r="AW94">
        <v>4</v>
      </c>
      <c r="AX94">
        <v>5</v>
      </c>
      <c r="AY94" s="10">
        <f>D51</f>
        <v>3.53</v>
      </c>
      <c r="AZ94" s="10">
        <f>AQ51</f>
        <v>4.720333928573309</v>
      </c>
      <c r="BA94" s="10">
        <f t="shared" si="35"/>
        <v>1.1903339285733092</v>
      </c>
      <c r="BB94" s="24">
        <f t="shared" si="36"/>
        <v>1.4168948615127681</v>
      </c>
      <c r="BC94" s="10">
        <f t="shared" si="37"/>
        <v>0.05951669642866546</v>
      </c>
    </row>
    <row r="95" spans="1:5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2" t="s">
        <v>23</v>
      </c>
      <c r="P95" s="3">
        <f>Q99/P94</f>
        <v>1.3354760765113183</v>
      </c>
      <c r="Q95" s="12"/>
      <c r="R95" s="3"/>
      <c r="S95" s="3"/>
      <c r="T95" s="3"/>
      <c r="U95" s="17" t="s">
        <v>21</v>
      </c>
      <c r="V95" s="13">
        <f>SUM(V100:V104)</f>
        <v>175.8466510678414</v>
      </c>
      <c r="W95" s="19"/>
      <c r="Y95" s="21" t="s">
        <v>37</v>
      </c>
      <c r="Z95">
        <f>-2</f>
        <v>-2</v>
      </c>
      <c r="AA95">
        <f>-2*$G$94-4*Y99</f>
        <v>-65.71005186718891</v>
      </c>
      <c r="AB95">
        <f>-2*$G$94*Y99-4*$G$94*Y100-8*Y99*Y100</f>
        <v>-519.836028316953</v>
      </c>
      <c r="AC95">
        <f>-2*$G$94*Y99*Y100-4*$G$94*Y99*Y101-8*$G$94*Y100*Y101-16*Y99*Y100*Y101</f>
        <v>-1374.283310400374</v>
      </c>
      <c r="AD95">
        <f>-2*$G$94*Y99*Y100*Y101-4*$G$94*Y99*Y100*Y102-8*$G$94*Y99*Y101*Y102-16*$G$94*Y100*Y101*Y102-32*Y99*Y100*Y101*Y102</f>
        <v>-1396.7676402071434</v>
      </c>
      <c r="AE95" s="19"/>
      <c r="AM95" s="19"/>
      <c r="AN95" s="3"/>
      <c r="AO95" s="3"/>
      <c r="AP95" s="3"/>
      <c r="AQ95" s="3"/>
      <c r="AR95" s="3"/>
      <c r="AS95" s="3"/>
      <c r="AT95" s="3"/>
      <c r="AW95">
        <v>4</v>
      </c>
      <c r="AX95">
        <v>6</v>
      </c>
      <c r="AY95" s="10">
        <f>D52</f>
        <v>5.26</v>
      </c>
      <c r="AZ95" s="10">
        <f>AQ52</f>
        <v>3.048660787156176</v>
      </c>
      <c r="BA95" s="10">
        <f t="shared" si="35"/>
        <v>-2.2113392128438236</v>
      </c>
      <c r="BB95" s="24">
        <f t="shared" si="36"/>
        <v>4.890021114260741</v>
      </c>
      <c r="BC95" s="10">
        <f t="shared" si="37"/>
        <v>-0.11056696064219118</v>
      </c>
    </row>
    <row r="96" spans="25:55" ht="12.75">
      <c r="Y96" s="21" t="s">
        <v>38</v>
      </c>
      <c r="Z96">
        <f>2*P99-$G$94-P100</f>
        <v>-17.67</v>
      </c>
      <c r="AA96">
        <f>2*P99*$G$94+4*P99*Y99-P101*Y99-2*$G$94*Y99-$G$94*Y99-4*Y99^2</f>
        <v>-86.1286737550827</v>
      </c>
      <c r="AB96">
        <f>2*P99*$G$94*Y99-2*$G$94*Y99^2+4*P99*$G$94*Y100+8*P99*Y99*Y100-P102*Y99*Y100-4*$G$94*Y99*Y100-2*$G$94*Y99*Y100-$G$94*Y99*Y100-8*Y99^2*Y100-4*$G$94*Y100^2-8*Y99*Y100^2</f>
        <v>0.5139962143069567</v>
      </c>
      <c r="AC96">
        <f>2*P99*$G$94*Y99*Y100-2*$G$94*Y99^2*Y100-2*$G$94*Y99*Y100^2+4*P99*$G$94*Y99*Y101-4*$G$94*Y99^2*Y101+8*P99*$G$94*Y100*Y101+16*P99*Y99*Y100*Y101-P103*Y99*Y100*Y101-8*$G$94*Y99*Y100*Y101-4*$G$94*Y99*Y100*Y101-2*$G$94*Y99*Y100*Y101-$G$94*Y99*Y100*Y101-16*Y99^2*Y100*Y101-8*$G$94*Y100^2*Y101-16*Y99*Y100^2*Y101-4*$G$94*Y99*Y101^2-8*$G$94*Y100*Y101^2-16*Y99*Y100*Y101^2</f>
        <v>151.3045075083393</v>
      </c>
      <c r="AD96">
        <f>2*P99*$G$94*Y99*Y100*Y101-2*$G$94*Y99^2*Y100*Y101-2*$G$94*Y99*Y100^2*Y101-2*$G$94*Y99*Y100*Y101^2+4*P99*$G$94*Y99*Y100*Y102-4*$G$94*Y99^2*Y100*Y102-4*$G$94*Y99*Y100^2*Y102+8*P99*$G$94*Y99*Y101*Y102-8*$G$94*Y99^2*Y101*Y102+16*P99*$G$94*Y100*Y101*Y102+32*P99*Y99*Y100*Y101*Y102-P104*Y99*Y100*Y101*Y102-16*$G$94*Y99*Y100*Y101*Y102-8*$G$94*Y99*Y100*Y101*Y102-4*$G$94*Y99*Y100*Y101*Y102-2*$G$94*Y99*Y100*Y101*Y102-$G$94*Y99*Y100*Y101*Y102-32*Y99^2*Y100*Y101*Y102-16*$G$94*Y100^2*Y101*Y102-32*Y99*Y100^2*Y101*Y102-8*$G$94*Y99*Y101^2*Y102-16*$G$94*Y100*Y101^2*Y102-32*Y99*Y100*Y101^2*Y102-4*$G$94*Y99*Y100*Y102^2-8*$G$94*Y99*Y101*Y102^2-16*$G$94*Y100*Y101*Y102^2-32*Y99*Y100*Y101*Y102^2</f>
        <v>50.92174346509229</v>
      </c>
      <c r="AW96">
        <v>4</v>
      </c>
      <c r="AX96">
        <v>7</v>
      </c>
      <c r="AY96" s="10">
        <f>D53</f>
        <v>5.93</v>
      </c>
      <c r="AZ96" s="10">
        <f>AQ53</f>
        <v>6.5412913720414965</v>
      </c>
      <c r="BA96" s="10">
        <f t="shared" si="35"/>
        <v>0.6112913720414968</v>
      </c>
      <c r="BB96" s="24">
        <f t="shared" si="36"/>
        <v>0.3736771415323756</v>
      </c>
      <c r="BC96" s="10">
        <f t="shared" si="37"/>
        <v>0.030564568602074838</v>
      </c>
    </row>
    <row r="97" spans="1:55" ht="15.75">
      <c r="A97" s="4" t="s">
        <v>1</v>
      </c>
      <c r="B97" s="5" t="s">
        <v>2</v>
      </c>
      <c r="C97" s="5"/>
      <c r="D97" s="5"/>
      <c r="E97" s="5"/>
      <c r="F97" s="5"/>
      <c r="G97" s="5"/>
      <c r="H97" s="6"/>
      <c r="I97" s="5" t="s">
        <v>3</v>
      </c>
      <c r="J97" s="5"/>
      <c r="K97" s="5"/>
      <c r="L97" s="5"/>
      <c r="M97" s="5"/>
      <c r="N97" s="5"/>
      <c r="O97" s="4" t="s">
        <v>4</v>
      </c>
      <c r="P97" s="4" t="s">
        <v>14</v>
      </c>
      <c r="Q97" s="4" t="s">
        <v>5</v>
      </c>
      <c r="R97" s="4" t="s">
        <v>40</v>
      </c>
      <c r="S97" s="4" t="s">
        <v>42</v>
      </c>
      <c r="T97" s="4" t="s">
        <v>16</v>
      </c>
      <c r="U97" s="4" t="s">
        <v>15</v>
      </c>
      <c r="V97" s="4"/>
      <c r="W97" s="4"/>
      <c r="Y97" s="21" t="s">
        <v>39</v>
      </c>
      <c r="Z97">
        <f>$G$94*P99</f>
        <v>196.20000000000002</v>
      </c>
      <c r="AA97">
        <f>P99*$G$94*Y99-$G$94*Y99^2</f>
        <v>434.8195853186861</v>
      </c>
      <c r="AB97">
        <f>P99*$G$94*Y99*Y100-$G$94*Y99^2*Y100-$G$94*Y99*Y100^2</f>
        <v>355.50129214653646</v>
      </c>
      <c r="AC97">
        <f>P99*$G$94*Y99*Y100*Y101-$G$94*Y99^2*Y100*Y101-$G$94*Y99*Y100^2*Y101-$G$94*Y99*Y100*Y101^2</f>
        <v>118.19904818396662</v>
      </c>
      <c r="AD97">
        <f>P99*$G$94*Y99*Y100*Y101*Y102-$G$94*Y99^2*Y100*Y101*Y102-$G$94*Y99*Y100^2*Y101*Y102-$G$94*Y99*Y100*Y101^2*Y102-$G$94*Y99*Y100*Y101*Y102^2</f>
        <v>15.211326868019402</v>
      </c>
      <c r="AE97" s="4"/>
      <c r="AM97" s="4"/>
      <c r="AN97" s="4" t="s">
        <v>1</v>
      </c>
      <c r="AO97" s="5" t="s">
        <v>31</v>
      </c>
      <c r="AP97" s="5"/>
      <c r="AQ97" s="5"/>
      <c r="AR97" s="5"/>
      <c r="AS97" s="5"/>
      <c r="AT97" s="5"/>
      <c r="AW97">
        <v>4</v>
      </c>
      <c r="AX97">
        <v>4</v>
      </c>
      <c r="AY97" s="10">
        <f>E50</f>
        <v>5.99</v>
      </c>
      <c r="AZ97" s="10">
        <f>AR50</f>
        <v>6.156143572774771</v>
      </c>
      <c r="BA97" s="10">
        <f t="shared" si="35"/>
        <v>0.16614357277477065</v>
      </c>
      <c r="BB97" s="24">
        <f t="shared" si="36"/>
        <v>0.02760368677436551</v>
      </c>
      <c r="BC97" s="10">
        <f t="shared" si="37"/>
        <v>0.008307178638738533</v>
      </c>
    </row>
    <row r="98" spans="1:55" ht="12.75">
      <c r="A98" s="7" t="s">
        <v>6</v>
      </c>
      <c r="B98" s="7" t="s">
        <v>7</v>
      </c>
      <c r="C98" s="7" t="s">
        <v>8</v>
      </c>
      <c r="D98" s="7" t="s">
        <v>9</v>
      </c>
      <c r="E98" s="7" t="s">
        <v>10</v>
      </c>
      <c r="F98" s="7" t="s">
        <v>11</v>
      </c>
      <c r="G98" s="7" t="s">
        <v>12</v>
      </c>
      <c r="H98" s="7"/>
      <c r="I98" s="7" t="s">
        <v>7</v>
      </c>
      <c r="J98" s="7" t="s">
        <v>8</v>
      </c>
      <c r="K98" s="7" t="s">
        <v>9</v>
      </c>
      <c r="L98" s="7" t="s">
        <v>10</v>
      </c>
      <c r="M98" s="7" t="s">
        <v>11</v>
      </c>
      <c r="N98" s="7" t="s">
        <v>12</v>
      </c>
      <c r="O98" s="7"/>
      <c r="P98" s="7"/>
      <c r="Q98" s="7" t="s">
        <v>41</v>
      </c>
      <c r="R98" s="7" t="s">
        <v>41</v>
      </c>
      <c r="S98" s="7" t="s">
        <v>41</v>
      </c>
      <c r="T98" s="7"/>
      <c r="U98" s="7" t="s">
        <v>41</v>
      </c>
      <c r="V98" s="7" t="s">
        <v>19</v>
      </c>
      <c r="W98" s="15"/>
      <c r="X98" s="4" t="s">
        <v>17</v>
      </c>
      <c r="Y98" s="4">
        <v>1</v>
      </c>
      <c r="Z98" s="15">
        <v>2</v>
      </c>
      <c r="AA98" s="15">
        <v>3</v>
      </c>
      <c r="AB98" s="15">
        <v>4</v>
      </c>
      <c r="AC98" s="15">
        <v>5</v>
      </c>
      <c r="AD98" s="15">
        <v>6</v>
      </c>
      <c r="AE98" s="15"/>
      <c r="AF98" s="4" t="s">
        <v>17</v>
      </c>
      <c r="AG98" s="4">
        <v>1</v>
      </c>
      <c r="AH98" s="15">
        <v>2</v>
      </c>
      <c r="AI98" s="15">
        <v>3</v>
      </c>
      <c r="AJ98" s="15">
        <v>4</v>
      </c>
      <c r="AK98" s="15">
        <v>5</v>
      </c>
      <c r="AL98" s="15">
        <v>6</v>
      </c>
      <c r="AM98" s="15"/>
      <c r="AN98" s="7" t="s">
        <v>6</v>
      </c>
      <c r="AO98" s="7" t="s">
        <v>7</v>
      </c>
      <c r="AP98" s="7" t="s">
        <v>8</v>
      </c>
      <c r="AQ98" s="7" t="s">
        <v>9</v>
      </c>
      <c r="AR98" s="7" t="s">
        <v>10</v>
      </c>
      <c r="AS98" s="7" t="s">
        <v>11</v>
      </c>
      <c r="AT98" s="7" t="s">
        <v>12</v>
      </c>
      <c r="AW98">
        <v>4</v>
      </c>
      <c r="AX98">
        <v>5</v>
      </c>
      <c r="AY98" s="10">
        <f>E51</f>
        <v>6.7</v>
      </c>
      <c r="AZ98" s="10">
        <f>AR51</f>
        <v>4.56647929991927</v>
      </c>
      <c r="BA98" s="10">
        <f t="shared" si="35"/>
        <v>-2.13352070008073</v>
      </c>
      <c r="BB98" s="24">
        <f t="shared" si="36"/>
        <v>4.5519105776729685</v>
      </c>
      <c r="BC98" s="10">
        <f t="shared" si="37"/>
        <v>-0.10667603500403651</v>
      </c>
    </row>
    <row r="99" spans="1:55" ht="12.75">
      <c r="A99" s="8" t="s">
        <v>7</v>
      </c>
      <c r="B99" s="25">
        <v>10.19</v>
      </c>
      <c r="C99" s="26"/>
      <c r="D99" s="26"/>
      <c r="E99" s="26"/>
      <c r="F99" s="26"/>
      <c r="G99" s="26"/>
      <c r="H99" s="10"/>
      <c r="I99" s="9">
        <v>0</v>
      </c>
      <c r="J99" s="10"/>
      <c r="K99" s="10"/>
      <c r="L99" s="10"/>
      <c r="M99" s="10"/>
      <c r="N99" s="10"/>
      <c r="O99" s="11">
        <f>B99</f>
        <v>10.19</v>
      </c>
      <c r="P99" s="11">
        <f>$G$94-O99</f>
        <v>9.81</v>
      </c>
      <c r="Q99" s="11">
        <f>$B99</f>
        <v>10.19</v>
      </c>
      <c r="R99" s="11">
        <f>20-Y105</f>
        <v>10.19</v>
      </c>
      <c r="S99" s="11">
        <f aca="true" t="shared" si="50" ref="S99:S104">R99/$G$94</f>
        <v>0.5095</v>
      </c>
      <c r="T99" s="11">
        <f aca="true" t="shared" si="51" ref="T99:T104">Q99/R99</f>
        <v>1</v>
      </c>
      <c r="U99" s="11">
        <f>AG105</f>
        <v>9.81</v>
      </c>
      <c r="V99" s="11"/>
      <c r="W99" s="11"/>
      <c r="X99" s="4">
        <v>2</v>
      </c>
      <c r="Y99" s="10">
        <f>(-Z96-SQRT(Z96^2-4*Z95*Z97))/(2*Z95)</f>
        <v>6.427512966797227</v>
      </c>
      <c r="Z99" s="10"/>
      <c r="AA99" s="10"/>
      <c r="AB99" s="10"/>
      <c r="AC99" s="10"/>
      <c r="AD99" s="10"/>
      <c r="AE99" s="11"/>
      <c r="AF99" s="4">
        <v>2</v>
      </c>
      <c r="AG99" s="10">
        <f aca="true" t="shared" si="52" ref="AG99:AG105">Y99</f>
        <v>6.427512966797227</v>
      </c>
      <c r="AH99" s="10"/>
      <c r="AI99" s="10"/>
      <c r="AJ99" s="10"/>
      <c r="AK99" s="10"/>
      <c r="AL99" s="10"/>
      <c r="AM99" s="11"/>
      <c r="AN99" s="8" t="s">
        <v>7</v>
      </c>
      <c r="AO99" s="9">
        <f>$G$94-AG99-AG100-AG101-AG102-AG103-AG104</f>
        <v>10.19</v>
      </c>
      <c r="AP99" s="10"/>
      <c r="AQ99" s="10"/>
      <c r="AR99" s="10"/>
      <c r="AS99" s="10"/>
      <c r="AT99" s="10"/>
      <c r="AW99">
        <v>4</v>
      </c>
      <c r="AX99">
        <v>6</v>
      </c>
      <c r="AY99" s="10">
        <f>E52</f>
        <v>3.97</v>
      </c>
      <c r="AZ99" s="10">
        <f>AR52</f>
        <v>2.94929269574621</v>
      </c>
      <c r="BA99" s="10">
        <f t="shared" si="35"/>
        <v>-1.0207073042537904</v>
      </c>
      <c r="BB99" s="24">
        <f t="shared" si="36"/>
        <v>1.0418434009570399</v>
      </c>
      <c r="BC99" s="10">
        <f t="shared" si="37"/>
        <v>-0.05103536521268952</v>
      </c>
    </row>
    <row r="100" spans="1:55" ht="12.75">
      <c r="A100" s="8" t="s">
        <v>8</v>
      </c>
      <c r="B100" s="26">
        <v>3.29</v>
      </c>
      <c r="C100" s="25">
        <v>9.23</v>
      </c>
      <c r="D100" s="26"/>
      <c r="E100" s="26"/>
      <c r="F100" s="26"/>
      <c r="G100" s="26"/>
      <c r="H100" s="10"/>
      <c r="I100" s="10">
        <v>0</v>
      </c>
      <c r="J100" s="9">
        <v>0</v>
      </c>
      <c r="K100" s="10"/>
      <c r="L100" s="10"/>
      <c r="M100" s="10"/>
      <c r="N100" s="10"/>
      <c r="O100" s="11">
        <f>SUM(B100:C100)</f>
        <v>12.52</v>
      </c>
      <c r="P100" s="11">
        <f>P99+$G$94-O100</f>
        <v>17.290000000000003</v>
      </c>
      <c r="Q100" s="11">
        <f>C100</f>
        <v>9.23</v>
      </c>
      <c r="R100" s="11">
        <f>20-Z105</f>
        <v>9.474974066405544</v>
      </c>
      <c r="S100" s="11">
        <f t="shared" si="50"/>
        <v>0.4737487033202772</v>
      </c>
      <c r="T100" s="11">
        <f t="shared" si="51"/>
        <v>0.9741451464997543</v>
      </c>
      <c r="U100" s="11">
        <f>AH105</f>
        <v>10.525025933594456</v>
      </c>
      <c r="V100" s="11">
        <f>(U100-Q100)^2</f>
        <v>1.677092168682192</v>
      </c>
      <c r="W100" s="11"/>
      <c r="X100" s="4">
        <v>3</v>
      </c>
      <c r="Y100" s="10">
        <f>(-AA96-SQRT(AA96^2-4*AA95*AA97))/(2*AA95)</f>
        <v>1.9992033347964535</v>
      </c>
      <c r="Z100" s="10">
        <f>$G$94*Y100/Y99</f>
        <v>6.220767955269141</v>
      </c>
      <c r="AA100" s="10"/>
      <c r="AB100" s="10"/>
      <c r="AC100" s="10"/>
      <c r="AD100" s="10"/>
      <c r="AE100" s="11"/>
      <c r="AF100" s="4">
        <v>3</v>
      </c>
      <c r="AG100" s="10">
        <f t="shared" si="52"/>
        <v>1.9992033347964535</v>
      </c>
      <c r="AH100" s="10">
        <f>Z100-(Z100*(Z105-AH105)/Z105)</f>
        <v>6.220767955269141</v>
      </c>
      <c r="AI100" s="10"/>
      <c r="AJ100" s="10"/>
      <c r="AK100" s="10"/>
      <c r="AL100" s="10"/>
      <c r="AM100" s="11"/>
      <c r="AN100" s="8" t="s">
        <v>8</v>
      </c>
      <c r="AO100" s="10">
        <f>AG99-AG100-AG101-AG102-AG103-AG104</f>
        <v>3.0450259335944545</v>
      </c>
      <c r="AP100" s="9">
        <f>$G$94-AH100-AH101-AH102-AH103-AH104</f>
        <v>9.474974066405544</v>
      </c>
      <c r="AQ100" s="10"/>
      <c r="AR100" s="10"/>
      <c r="AS100" s="10"/>
      <c r="AT100" s="10"/>
      <c r="AU100" s="10">
        <f>AP100-C100</f>
        <v>0.2449740664055433</v>
      </c>
      <c r="AV100" s="10">
        <f>AU100^2</f>
        <v>0.060012293211267546</v>
      </c>
      <c r="AW100">
        <v>4</v>
      </c>
      <c r="AX100">
        <v>7</v>
      </c>
      <c r="AY100" s="10">
        <f>E53</f>
        <v>3.34</v>
      </c>
      <c r="AZ100" s="10">
        <f>AR53</f>
        <v>6.328084431559748</v>
      </c>
      <c r="BA100" s="10">
        <f t="shared" si="35"/>
        <v>2.9880844315597486</v>
      </c>
      <c r="BB100" s="24">
        <f t="shared" si="36"/>
        <v>8.928648570129745</v>
      </c>
      <c r="BC100" s="10">
        <f t="shared" si="37"/>
        <v>0.14940422157798744</v>
      </c>
    </row>
    <row r="101" spans="1:55" ht="12.75">
      <c r="A101" s="8" t="s">
        <v>9</v>
      </c>
      <c r="B101" s="26">
        <v>0.88</v>
      </c>
      <c r="C101" s="26">
        <v>2.34</v>
      </c>
      <c r="D101" s="25">
        <v>6.09</v>
      </c>
      <c r="E101" s="26"/>
      <c r="F101" s="26"/>
      <c r="G101" s="26"/>
      <c r="H101" s="10"/>
      <c r="I101" s="10">
        <v>0</v>
      </c>
      <c r="J101" s="10">
        <v>0</v>
      </c>
      <c r="K101" s="9">
        <v>0</v>
      </c>
      <c r="L101" s="10"/>
      <c r="M101" s="10"/>
      <c r="N101" s="10"/>
      <c r="O101" s="11">
        <f>SUM(B101:D101)</f>
        <v>9.309999999999999</v>
      </c>
      <c r="P101" s="11">
        <f>P100+$G$94-O101</f>
        <v>27.980000000000008</v>
      </c>
      <c r="Q101" s="11">
        <f>D101</f>
        <v>6.09</v>
      </c>
      <c r="R101" s="11">
        <f>20-AA105</f>
        <v>6.161650750275914</v>
      </c>
      <c r="S101" s="11">
        <f t="shared" si="50"/>
        <v>0.3080825375137957</v>
      </c>
      <c r="T101" s="11">
        <f t="shared" si="51"/>
        <v>0.9883715008883446</v>
      </c>
      <c r="U101" s="11">
        <f>AI105</f>
        <v>13.838349249724086</v>
      </c>
      <c r="V101" s="11">
        <f>(U101-Q101)^2</f>
        <v>60.03691609569981</v>
      </c>
      <c r="W101" s="11"/>
      <c r="X101" s="4">
        <v>4</v>
      </c>
      <c r="Y101" s="10">
        <f>(-AB96-SQRT(AB96^2-4*AB95*AB97))/(2*AB95)</f>
        <v>0.8274600539702333</v>
      </c>
      <c r="Z101" s="10">
        <f>Z100*Y101/Y100</f>
        <v>2.574744098517313</v>
      </c>
      <c r="AA101" s="10">
        <f>$G$94*Y101/Y100</f>
        <v>8.277897896308582</v>
      </c>
      <c r="AB101" s="10"/>
      <c r="AC101" s="10"/>
      <c r="AD101" s="10"/>
      <c r="AE101" s="11"/>
      <c r="AF101" s="4">
        <v>4</v>
      </c>
      <c r="AG101" s="10">
        <f t="shared" si="52"/>
        <v>0.8274600539702333</v>
      </c>
      <c r="AH101" s="10">
        <f>Z101-(Z101*(Z105-AH105)/Z105)</f>
        <v>2.574744098517313</v>
      </c>
      <c r="AI101" s="10">
        <f>AA101-(AA101*(AA105-AI105)/AA105)</f>
        <v>8.277897896308582</v>
      </c>
      <c r="AJ101" s="10"/>
      <c r="AK101" s="10"/>
      <c r="AL101" s="10"/>
      <c r="AM101" s="11"/>
      <c r="AN101" s="8" t="s">
        <v>9</v>
      </c>
      <c r="AO101" s="10">
        <f>2*(AG100-AG101-AG102-AG103-AG104)</f>
        <v>1.2318392727802676</v>
      </c>
      <c r="AP101" s="10">
        <f>AH100-AH101-AH102-AH103-AH104</f>
        <v>1.9165099769438236</v>
      </c>
      <c r="AQ101" s="9">
        <f>$G$94-AI101-AI102-AI103-AI104</f>
        <v>6.161650750275914</v>
      </c>
      <c r="AR101" s="10"/>
      <c r="AS101" s="10"/>
      <c r="AT101" s="10"/>
      <c r="AU101" s="10">
        <f>AQ101-D101</f>
        <v>0.07165075027591428</v>
      </c>
      <c r="AV101" s="10">
        <f>AU101^2</f>
        <v>0.0051338300151014295</v>
      </c>
      <c r="AW101">
        <v>4</v>
      </c>
      <c r="AX101">
        <v>5</v>
      </c>
      <c r="AY101" s="10">
        <f>F51</f>
        <v>8.47</v>
      </c>
      <c r="AZ101" s="10">
        <f>AS51</f>
        <v>9.92155573390523</v>
      </c>
      <c r="BA101" s="10">
        <f t="shared" si="35"/>
        <v>1.451555733905229</v>
      </c>
      <c r="BB101" s="24">
        <f t="shared" si="36"/>
        <v>2.1070140486331477</v>
      </c>
      <c r="BC101" s="10">
        <f t="shared" si="37"/>
        <v>0.07257778669526145</v>
      </c>
    </row>
    <row r="102" spans="1:55" ht="12.75">
      <c r="A102" s="8" t="s">
        <v>10</v>
      </c>
      <c r="B102" s="26">
        <v>1.31</v>
      </c>
      <c r="C102" s="26">
        <v>1.75</v>
      </c>
      <c r="D102" s="26">
        <v>3.77</v>
      </c>
      <c r="E102" s="25">
        <v>5.23</v>
      </c>
      <c r="F102" s="26"/>
      <c r="G102" s="26"/>
      <c r="H102" s="10"/>
      <c r="I102" s="10">
        <v>0</v>
      </c>
      <c r="J102" s="10">
        <v>0</v>
      </c>
      <c r="K102" s="10">
        <v>0</v>
      </c>
      <c r="L102" s="9">
        <v>0</v>
      </c>
      <c r="M102" s="10"/>
      <c r="N102" s="10"/>
      <c r="O102" s="11">
        <f>SUM(B102:E102)</f>
        <v>12.06</v>
      </c>
      <c r="P102" s="11">
        <f>P101+$G$94-O102</f>
        <v>35.92</v>
      </c>
      <c r="Q102" s="11">
        <f>E102</f>
        <v>5.23</v>
      </c>
      <c r="R102" s="11">
        <f>20-AB105</f>
        <v>6.565547381551752</v>
      </c>
      <c r="S102" s="11">
        <f t="shared" si="50"/>
        <v>0.32827736907758764</v>
      </c>
      <c r="T102" s="11">
        <f t="shared" si="51"/>
        <v>0.7965824776005046</v>
      </c>
      <c r="U102" s="11">
        <f>AJ105</f>
        <v>13.434452618448248</v>
      </c>
      <c r="V102" s="11">
        <f>(U102-Q102)^2</f>
        <v>67.3130427683623</v>
      </c>
      <c r="W102" s="11"/>
      <c r="X102" s="4">
        <v>5</v>
      </c>
      <c r="Y102" s="10">
        <f>(-AC96-SQRT(AC96^2-4*AC95*AC97))/(2*AC95)</f>
        <v>0.35344106183366836</v>
      </c>
      <c r="Z102" s="10">
        <f>$G$94*Y102/Y99</f>
        <v>1.0997754921987652</v>
      </c>
      <c r="AA102" s="10">
        <f>$G$94*Y102/Y100</f>
        <v>3.535819050338404</v>
      </c>
      <c r="AB102" s="10">
        <f>$G$94*Y102/Y101</f>
        <v>8.542794546705283</v>
      </c>
      <c r="AC102" s="10"/>
      <c r="AD102" s="10"/>
      <c r="AE102" s="11"/>
      <c r="AF102" s="4">
        <v>5</v>
      </c>
      <c r="AG102" s="10">
        <f t="shared" si="52"/>
        <v>0.35344106183366836</v>
      </c>
      <c r="AH102" s="10">
        <f>Z102-(Z102*(Z105-AH105)/Z105)</f>
        <v>1.0997754921987652</v>
      </c>
      <c r="AI102" s="10">
        <f>AA102-(AA102*(AA105-AI105)/AA105)</f>
        <v>3.535819050338404</v>
      </c>
      <c r="AJ102" s="10">
        <f>AB102-(AB102*(AB105-AJ105)/AB105)</f>
        <v>8.542794546705283</v>
      </c>
      <c r="AK102" s="10"/>
      <c r="AL102" s="10"/>
      <c r="AM102" s="11"/>
      <c r="AN102" s="8" t="s">
        <v>10</v>
      </c>
      <c r="AO102" s="10">
        <f>4*(AG101-AG102-AG103-AG104)</f>
        <v>1.0865456381365872</v>
      </c>
      <c r="AP102" s="10">
        <f>2*(AH101-AH102-AH103-AH104)</f>
        <v>1.6904604374186176</v>
      </c>
      <c r="AQ102" s="10">
        <f>AI101-AI102-AI103-AI104</f>
        <v>2.7174465428930787</v>
      </c>
      <c r="AR102" s="9">
        <f>$G$94-AJ102-AJ103-AJ104</f>
        <v>6.5655473815517515</v>
      </c>
      <c r="AS102" s="10"/>
      <c r="AT102" s="10"/>
      <c r="AU102" s="10">
        <f>AR102-E102</f>
        <v>1.3355473815517511</v>
      </c>
      <c r="AV102" s="10">
        <f>AU102^2</f>
        <v>1.7836868083697386</v>
      </c>
      <c r="AW102">
        <v>4</v>
      </c>
      <c r="AX102">
        <v>6</v>
      </c>
      <c r="AY102" s="10">
        <f>F52</f>
        <v>3.17</v>
      </c>
      <c r="AZ102" s="10">
        <f>AS52</f>
        <v>3.2039531917907658</v>
      </c>
      <c r="BA102" s="10">
        <f t="shared" si="35"/>
        <v>0.033953191790765835</v>
      </c>
      <c r="BB102" s="24">
        <f t="shared" si="36"/>
        <v>0.0011528192327805286</v>
      </c>
      <c r="BC102" s="10">
        <f t="shared" si="37"/>
        <v>0.0016976595895382917</v>
      </c>
    </row>
    <row r="103" spans="1:55" ht="12.75">
      <c r="A103" s="8" t="s">
        <v>11</v>
      </c>
      <c r="B103" s="26">
        <v>1.07</v>
      </c>
      <c r="C103" s="26">
        <v>1.73</v>
      </c>
      <c r="D103" s="26">
        <v>2.21</v>
      </c>
      <c r="E103" s="26">
        <v>4.68</v>
      </c>
      <c r="F103" s="25">
        <v>8.62</v>
      </c>
      <c r="G103" s="26"/>
      <c r="H103" s="10"/>
      <c r="I103" s="10">
        <v>0.01</v>
      </c>
      <c r="J103" s="10">
        <v>0.01</v>
      </c>
      <c r="K103" s="10">
        <v>0.01</v>
      </c>
      <c r="L103" s="10">
        <v>0.02</v>
      </c>
      <c r="M103" s="9">
        <v>0.04</v>
      </c>
      <c r="N103" s="10"/>
      <c r="O103" s="11">
        <f>SUM(B103:F103)</f>
        <v>18.31</v>
      </c>
      <c r="P103" s="11">
        <f>P102+$G$94-O103</f>
        <v>37.61</v>
      </c>
      <c r="Q103" s="11">
        <f>F103</f>
        <v>8.62</v>
      </c>
      <c r="R103" s="11">
        <f>20-AC105</f>
        <v>8.547873778307023</v>
      </c>
      <c r="S103" s="11">
        <f t="shared" si="50"/>
        <v>0.4273936889153512</v>
      </c>
      <c r="T103" s="11">
        <f t="shared" si="51"/>
        <v>1.008437913750671</v>
      </c>
      <c r="U103" s="11">
        <f>AK105</f>
        <v>11.452126221692977</v>
      </c>
      <c r="V103" s="11">
        <f>(U103-Q103)^2</f>
        <v>8.02093893560094</v>
      </c>
      <c r="W103" s="11"/>
      <c r="X103" s="4">
        <v>6</v>
      </c>
      <c r="Y103" s="10">
        <f>(-AD96-SQRT(AD96^2-4*AD95*AD97))/(2*AD95)</f>
        <v>0.12416544654832147</v>
      </c>
      <c r="Z103" s="10">
        <f>Z102*Y103/Y102</f>
        <v>0.38635611375574397</v>
      </c>
      <c r="AA103" s="10">
        <f>AA102*Y103/Y102</f>
        <v>1.242149254027362</v>
      </c>
      <c r="AB103" s="10">
        <f>AB102*Y103/Y102</f>
        <v>3.0011224337069486</v>
      </c>
      <c r="AC103" s="10">
        <f>$G$94*Y103/Y102</f>
        <v>7.026090624793026</v>
      </c>
      <c r="AD103" s="10"/>
      <c r="AE103" s="11"/>
      <c r="AF103" s="4">
        <v>6</v>
      </c>
      <c r="AG103" s="10">
        <f t="shared" si="52"/>
        <v>0.12416544654832147</v>
      </c>
      <c r="AH103" s="10">
        <f>Z103-(Z103*(Z105-AH105)/Z105)</f>
        <v>0.38635611375574397</v>
      </c>
      <c r="AI103" s="10">
        <f>AA103-(AA103*(AA105-AI105)/AA105)</f>
        <v>1.242149254027362</v>
      </c>
      <c r="AJ103" s="10">
        <f>AB103-(AB103*(AB105-AJ105)/AB105)</f>
        <v>3.0011224337069486</v>
      </c>
      <c r="AK103" s="10">
        <f>AC103-(AC103*(AC105-AK105)/AC105)</f>
        <v>7.026090624793026</v>
      </c>
      <c r="AL103" s="10"/>
      <c r="AM103" s="11"/>
      <c r="AN103" s="8" t="s">
        <v>11</v>
      </c>
      <c r="AO103" s="10">
        <f>8*(AG102-AG103-AG104)</f>
        <v>1.2084678338500021</v>
      </c>
      <c r="AP103" s="10">
        <f>4*(AH102-AH103-AH104)</f>
        <v>1.8801484183581054</v>
      </c>
      <c r="AQ103" s="10">
        <f>2*(AI102-AI103-AI104)</f>
        <v>3.0223734945226095</v>
      </c>
      <c r="AR103" s="10">
        <f>AJ102-AJ103-AJ104</f>
        <v>3.6511364749623167</v>
      </c>
      <c r="AS103" s="9">
        <f>$G$94-AK103-AK104</f>
        <v>8.547873778307023</v>
      </c>
      <c r="AT103" s="10"/>
      <c r="AU103" s="10">
        <f>AS103-F103</f>
        <v>-0.07212622169297589</v>
      </c>
      <c r="AV103" s="10">
        <f>AU103^2</f>
        <v>0.005202191855704306</v>
      </c>
      <c r="AW103">
        <v>4</v>
      </c>
      <c r="AX103">
        <v>7</v>
      </c>
      <c r="AY103" s="10">
        <f>F53</f>
        <v>8.36</v>
      </c>
      <c r="AZ103" s="10">
        <f>AS53</f>
        <v>6.874491074304004</v>
      </c>
      <c r="BA103" s="10">
        <f t="shared" si="35"/>
        <v>-1.4855089256959957</v>
      </c>
      <c r="BB103" s="24">
        <f t="shared" si="36"/>
        <v>2.2067367683224712</v>
      </c>
      <c r="BC103" s="10">
        <f t="shared" si="37"/>
        <v>-0.07427544628479979</v>
      </c>
    </row>
    <row r="104" spans="1:55" ht="12.75">
      <c r="A104" s="8" t="s">
        <v>12</v>
      </c>
      <c r="B104" s="26">
        <v>0.04</v>
      </c>
      <c r="C104" s="26">
        <v>1.35</v>
      </c>
      <c r="D104" s="26">
        <v>2.32</v>
      </c>
      <c r="E104" s="26">
        <v>2.34</v>
      </c>
      <c r="F104" s="26">
        <v>3.52</v>
      </c>
      <c r="G104" s="25">
        <v>6.37</v>
      </c>
      <c r="H104" s="9"/>
      <c r="I104" s="10">
        <v>0.01</v>
      </c>
      <c r="J104" s="10">
        <v>0.02</v>
      </c>
      <c r="K104" s="10">
        <v>0.02</v>
      </c>
      <c r="L104" s="10">
        <v>0.02</v>
      </c>
      <c r="M104" s="10">
        <v>0.05</v>
      </c>
      <c r="N104" s="9">
        <v>0.23</v>
      </c>
      <c r="O104" s="11">
        <f>SUM(B104:G104)</f>
        <v>15.940000000000001</v>
      </c>
      <c r="P104" s="11">
        <f>P103+$G$94-O104</f>
        <v>41.67</v>
      </c>
      <c r="Q104" s="11">
        <f>G104</f>
        <v>6.37</v>
      </c>
      <c r="R104" s="11">
        <f>20-AD105</f>
        <v>7.401142873729068</v>
      </c>
      <c r="S104" s="11">
        <f t="shared" si="50"/>
        <v>0.37005714368645337</v>
      </c>
      <c r="T104" s="11">
        <f t="shared" si="51"/>
        <v>0.8606778856561208</v>
      </c>
      <c r="U104" s="11">
        <f>AL105</f>
        <v>12.598857126270932</v>
      </c>
      <c r="V104" s="11">
        <f>(U104-Q104)^2</f>
        <v>38.79866109949617</v>
      </c>
      <c r="W104" s="11"/>
      <c r="X104" s="4">
        <v>7</v>
      </c>
      <c r="Y104" s="10">
        <f>P99-Y99-Y100-Y101-Y102-Y103</f>
        <v>0.07821713605409662</v>
      </c>
      <c r="Z104" s="10">
        <f>Z102*Y104/Y102</f>
        <v>0.24338227385349492</v>
      </c>
      <c r="AA104" s="10">
        <f>AA102*Y104/Y102</f>
        <v>0.7824830490497378</v>
      </c>
      <c r="AB104" s="10">
        <f>AB102*Y104/Y102</f>
        <v>1.8905356380360177</v>
      </c>
      <c r="AC104" s="10">
        <f>$G$94*Y104/Y102</f>
        <v>4.4260355968999505</v>
      </c>
      <c r="AD104" s="10">
        <f>$G$94*Y104/Y103</f>
        <v>12.598857126270932</v>
      </c>
      <c r="AE104" s="11"/>
      <c r="AF104" s="4">
        <v>7</v>
      </c>
      <c r="AG104" s="10">
        <f t="shared" si="52"/>
        <v>0.07821713605409662</v>
      </c>
      <c r="AH104" s="10">
        <f>Z104-(Z104*(Z105-AH105)/Z105)</f>
        <v>0.24338227385349492</v>
      </c>
      <c r="AI104" s="10">
        <f>AA104-(AA104*(AA105-AI105)/AA105)</f>
        <v>0.7824830490497378</v>
      </c>
      <c r="AJ104" s="10">
        <f>AB104-(AB104*(AB105-AJ105)/AB105)</f>
        <v>1.8905356380360177</v>
      </c>
      <c r="AK104" s="10">
        <f>AC104-(AC104*(AC105-AK105)/AC105)</f>
        <v>4.4260355968999505</v>
      </c>
      <c r="AL104" s="10">
        <f>AD104-(AD104*(AD105-AL105)/AD105)</f>
        <v>12.598857126270932</v>
      </c>
      <c r="AM104" s="11"/>
      <c r="AN104" s="8" t="s">
        <v>12</v>
      </c>
      <c r="AO104" s="10">
        <f>16*(AG103-AG104)</f>
        <v>0.7351729679075976</v>
      </c>
      <c r="AP104" s="10">
        <f>8*(AH103-AH104)</f>
        <v>1.1437907192179924</v>
      </c>
      <c r="AQ104" s="10">
        <f>4*(AI103-AI104)</f>
        <v>1.838664819910497</v>
      </c>
      <c r="AR104" s="10">
        <f>2*(AJ103-AJ104)</f>
        <v>2.221173591341862</v>
      </c>
      <c r="AS104" s="10">
        <f>AK103-AK104</f>
        <v>2.6000550278930756</v>
      </c>
      <c r="AT104" s="9">
        <f>$G$94-AL104</f>
        <v>7.401142873729068</v>
      </c>
      <c r="AU104" s="10">
        <f>AT104-G104</f>
        <v>1.0311428737290678</v>
      </c>
      <c r="AV104" s="10">
        <f>AU104^2</f>
        <v>1.06325562604224</v>
      </c>
      <c r="AW104">
        <v>4</v>
      </c>
      <c r="AX104">
        <v>6</v>
      </c>
      <c r="AY104" s="10">
        <f>G52</f>
        <v>7.26</v>
      </c>
      <c r="AZ104" s="10">
        <f>AT52</f>
        <v>9.64871952356352</v>
      </c>
      <c r="BA104" s="10">
        <f t="shared" si="35"/>
        <v>2.3887195235635197</v>
      </c>
      <c r="BB104" s="24">
        <f t="shared" si="36"/>
        <v>5.705980962253529</v>
      </c>
      <c r="BC104" s="10">
        <f t="shared" si="37"/>
        <v>0.11943597617817599</v>
      </c>
    </row>
    <row r="105" spans="1:55" ht="12.75">
      <c r="A105" s="12" t="s">
        <v>13</v>
      </c>
      <c r="B105" s="28">
        <v>3.22</v>
      </c>
      <c r="C105" s="28">
        <v>3.6</v>
      </c>
      <c r="D105" s="28">
        <v>5.61</v>
      </c>
      <c r="E105" s="28">
        <v>7.75</v>
      </c>
      <c r="F105" s="28">
        <v>7.86</v>
      </c>
      <c r="G105" s="28">
        <v>13.63</v>
      </c>
      <c r="H105" s="13"/>
      <c r="I105" s="13"/>
      <c r="J105" s="13"/>
      <c r="K105" s="13"/>
      <c r="L105" s="13"/>
      <c r="M105" s="13"/>
      <c r="N105" s="13"/>
      <c r="O105" s="14">
        <f>SUM(B105:G105)</f>
        <v>41.67</v>
      </c>
      <c r="P105" s="14"/>
      <c r="Q105" s="14"/>
      <c r="R105" s="14"/>
      <c r="S105" s="14"/>
      <c r="T105" s="14"/>
      <c r="U105" s="14"/>
      <c r="V105" s="14"/>
      <c r="W105" s="22"/>
      <c r="X105" s="16" t="s">
        <v>18</v>
      </c>
      <c r="Y105" s="10">
        <f aca="true" t="shared" si="53" ref="Y105:AD105">SUM(Y99:Y104)</f>
        <v>9.81</v>
      </c>
      <c r="Z105" s="10">
        <f t="shared" si="53"/>
        <v>10.525025933594456</v>
      </c>
      <c r="AA105" s="10">
        <f t="shared" si="53"/>
        <v>13.838349249724086</v>
      </c>
      <c r="AB105" s="10">
        <f t="shared" si="53"/>
        <v>13.434452618448248</v>
      </c>
      <c r="AC105" s="10">
        <f t="shared" si="53"/>
        <v>11.452126221692977</v>
      </c>
      <c r="AD105" s="10">
        <f t="shared" si="53"/>
        <v>12.598857126270932</v>
      </c>
      <c r="AE105" s="22"/>
      <c r="AF105" s="16" t="s">
        <v>18</v>
      </c>
      <c r="AG105" s="10">
        <f t="shared" si="52"/>
        <v>9.81</v>
      </c>
      <c r="AH105" s="10">
        <f>Z105*(V94*(Z105/$G$94)^2-V94*(Z105/$G$94)+1)</f>
        <v>10.525025933594456</v>
      </c>
      <c r="AI105" s="10">
        <f>AA105*(V94*(AA105/$G$94)^2-V94*(AA105/$G$94)+1)</f>
        <v>13.838349249724086</v>
      </c>
      <c r="AJ105" s="10">
        <f>AB105*(V94*(AB105/$G$94)^2-V94*(AB105/$G$94)+1)</f>
        <v>13.434452618448248</v>
      </c>
      <c r="AK105" s="10">
        <f>AC105*(V94*(AC105/$G$94)^2-V94*(AC105/$G$94)+1)</f>
        <v>11.452126221692977</v>
      </c>
      <c r="AL105" s="10">
        <f>AD105*(V94*(AD105/$G$94)^2-V94*(AD105/$G$94)+1)</f>
        <v>12.598857126270932</v>
      </c>
      <c r="AM105" s="22"/>
      <c r="AN105" s="12" t="s">
        <v>13</v>
      </c>
      <c r="AO105" s="13">
        <f>32*AG104</f>
        <v>2.502948353731092</v>
      </c>
      <c r="AP105" s="13">
        <f>16*AH104</f>
        <v>3.894116381655919</v>
      </c>
      <c r="AQ105" s="13">
        <f>8*AI104</f>
        <v>6.259864392397902</v>
      </c>
      <c r="AR105" s="13">
        <f>4*AJ104</f>
        <v>7.562142552144071</v>
      </c>
      <c r="AS105" s="13">
        <f>2*AK104</f>
        <v>8.852071193799901</v>
      </c>
      <c r="AT105" s="13">
        <f>AL104</f>
        <v>12.598857126270932</v>
      </c>
      <c r="AW105">
        <v>4</v>
      </c>
      <c r="AX105">
        <v>7</v>
      </c>
      <c r="AY105" s="10">
        <f>G53</f>
        <v>12.74</v>
      </c>
      <c r="AZ105" s="10">
        <f>AT53</f>
        <v>10.35128047643648</v>
      </c>
      <c r="BA105" s="10">
        <f t="shared" si="35"/>
        <v>-2.3887195235635197</v>
      </c>
      <c r="BB105" s="24">
        <f t="shared" si="36"/>
        <v>5.705980962253529</v>
      </c>
      <c r="BC105" s="10">
        <f t="shared" si="37"/>
        <v>-0.11943597617817599</v>
      </c>
    </row>
    <row r="106" spans="49:55" ht="12.75">
      <c r="AW106">
        <v>5</v>
      </c>
      <c r="AX106">
        <v>2</v>
      </c>
      <c r="AY106" s="10">
        <f aca="true" t="shared" si="54" ref="AY106:AY111">B61</f>
        <v>4.3</v>
      </c>
      <c r="AZ106" s="10">
        <f aca="true" t="shared" si="55" ref="AZ106:AZ111">AO61</f>
        <v>3.818717086430287</v>
      </c>
      <c r="BA106" s="10">
        <f t="shared" si="35"/>
        <v>-0.481282913569713</v>
      </c>
      <c r="BB106" s="24">
        <f t="shared" si="36"/>
        <v>0.23163324289415183</v>
      </c>
      <c r="BC106" s="10">
        <f t="shared" si="37"/>
        <v>-0.024064145678485648</v>
      </c>
    </row>
    <row r="107" spans="1:55" ht="12.75">
      <c r="A107" s="2" t="s">
        <v>52</v>
      </c>
      <c r="F107" t="s">
        <v>30</v>
      </c>
      <c r="G107">
        <v>20</v>
      </c>
      <c r="O107" s="18" t="s">
        <v>22</v>
      </c>
      <c r="P107" s="20">
        <f>AVERAGE(S113:S117)*$G$107</f>
        <v>9.817828010417422</v>
      </c>
      <c r="Q107" s="8" t="s">
        <v>24</v>
      </c>
      <c r="R107">
        <f>P107/$G$107</f>
        <v>0.4908914005208711</v>
      </c>
      <c r="T107" s="19">
        <f>(P108-1)/(R107^2-R107)</f>
        <v>-0.0742455321932655</v>
      </c>
      <c r="U107" s="18" t="s">
        <v>20</v>
      </c>
      <c r="V107" s="19">
        <v>0</v>
      </c>
      <c r="W107" s="19"/>
      <c r="Y107" s="11"/>
      <c r="Z107" s="4" t="s">
        <v>32</v>
      </c>
      <c r="AA107" s="4" t="s">
        <v>33</v>
      </c>
      <c r="AB107" s="4" t="s">
        <v>34</v>
      </c>
      <c r="AC107" s="4" t="s">
        <v>35</v>
      </c>
      <c r="AD107" s="4" t="s">
        <v>36</v>
      </c>
      <c r="AW107">
        <v>5</v>
      </c>
      <c r="AX107">
        <v>3</v>
      </c>
      <c r="AY107" s="10">
        <f t="shared" si="54"/>
        <v>0.92</v>
      </c>
      <c r="AZ107" s="10">
        <f t="shared" si="55"/>
        <v>1.5987268168086588</v>
      </c>
      <c r="BA107" s="10">
        <f t="shared" si="35"/>
        <v>0.6787268168086588</v>
      </c>
      <c r="BB107" s="24">
        <f t="shared" si="36"/>
        <v>0.4606700918552146</v>
      </c>
      <c r="BC107" s="10">
        <f t="shared" si="37"/>
        <v>0.03393634084043294</v>
      </c>
    </row>
    <row r="108" spans="1:5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2" t="s">
        <v>23</v>
      </c>
      <c r="P108" s="3">
        <f>Q112/P107</f>
        <v>1.018555223150098</v>
      </c>
      <c r="Q108" s="12"/>
      <c r="R108" s="3"/>
      <c r="S108" s="3"/>
      <c r="T108" s="3"/>
      <c r="U108" s="17" t="s">
        <v>21</v>
      </c>
      <c r="V108" s="13">
        <f>SUM(V113:V117)</f>
        <v>119.20904641088207</v>
      </c>
      <c r="W108" s="19"/>
      <c r="Y108" s="21" t="s">
        <v>37</v>
      </c>
      <c r="Z108">
        <f>-2</f>
        <v>-2</v>
      </c>
      <c r="AA108">
        <f>-2*$G$107-4*Y112</f>
        <v>-69.00427734914787</v>
      </c>
      <c r="AB108">
        <f>-2*$G$107*Y112-4*$G$107*Y113-8*Y112*Y113</f>
        <v>-525.8335369109158</v>
      </c>
      <c r="AC108">
        <f>-2*$G$107*Y112*Y113-4*$G$107*Y112*Y114-8*$G$107*Y113*Y114-16*Y112*Y113*Y114</f>
        <v>-1179.2816414711972</v>
      </c>
      <c r="AD108">
        <f>-2*$G$107*Y112*Y113*Y114-4*$G$107*Y112*Y113*Y115-8*$G$107*Y112*Y114*Y115-16*$G$107*Y113*Y114*Y115-32*Y112*Y113*Y114*Y115</f>
        <v>-957.8392081662279</v>
      </c>
      <c r="AE108" s="19"/>
      <c r="AM108" s="19"/>
      <c r="AN108" s="3"/>
      <c r="AO108" s="3"/>
      <c r="AP108" s="3"/>
      <c r="AQ108" s="3"/>
      <c r="AR108" s="3"/>
      <c r="AS108" s="3"/>
      <c r="AT108" s="3"/>
      <c r="AW108">
        <v>5</v>
      </c>
      <c r="AX108">
        <v>4</v>
      </c>
      <c r="AY108" s="10">
        <f t="shared" si="54"/>
        <v>1.74</v>
      </c>
      <c r="AZ108" s="10">
        <f t="shared" si="55"/>
        <v>2.0582097689235344</v>
      </c>
      <c r="BA108" s="10">
        <f t="shared" si="35"/>
        <v>0.31820976892353436</v>
      </c>
      <c r="BB108" s="24">
        <f t="shared" si="36"/>
        <v>0.10125745703836914</v>
      </c>
      <c r="BC108" s="10">
        <f t="shared" si="37"/>
        <v>0.015910488446176718</v>
      </c>
    </row>
    <row r="109" spans="25:55" ht="12.75">
      <c r="Y109" s="21" t="s">
        <v>38</v>
      </c>
      <c r="Z109">
        <f>2*P112-$G$107-P113</f>
        <v>-13.080000000000002</v>
      </c>
      <c r="AA109">
        <f>2*P112*$G$107+4*P112*Y112-P114*Y112-2*$G$107*Y112-$G$107*Y112-4*Y112^2</f>
        <v>-115.43702384960861</v>
      </c>
      <c r="AB109">
        <f>2*P112*$G$107*Y112-2*$G$107*Y112^2+4*P112*$G$107*Y113+8*P112*Y112*Y113-P115*Y112*Y113-4*$G$107*Y112*Y113-2*$G$107*Y112*Y113-$G$107*Y112*Y113-8*Y112^2*Y113-4*$G$107*Y113^2-8*Y112*Y113^2</f>
        <v>-54.63380249632269</v>
      </c>
      <c r="AC109">
        <f>2*P112*$G$107*Y112*Y113-2*$G$107*Y112^2*Y113-2*$G$107*Y112*Y113^2+4*P112*$G$107*Y112*Y114-4*$G$107*Y112^2*Y114+8*P112*$G$107*Y113*Y114+16*P112*Y112*Y113*Y114-P116*Y112*Y113*Y114-8*$G$107*Y112*Y113*Y114-4*$G$107*Y112*Y113*Y114-2*$G$107*Y112*Y113*Y114-$G$107*Y112*Y113*Y114-16*Y112^2*Y113*Y114-8*$G$107*Y113^2*Y114-16*Y112*Y113^2*Y114-4*$G$107*Y112*Y114^2-8*$G$107*Y113*Y114^2-16*Y112*Y113*Y114^2</f>
        <v>84.5712811726652</v>
      </c>
      <c r="AD109">
        <f>2*P112*$G$107*Y112*Y113*Y114-2*$G$107*Y112^2*Y113*Y114-2*$G$107*Y112*Y113^2*Y114-2*$G$107*Y112*Y113*Y114^2+4*P112*$G$107*Y112*Y113*Y115-4*$G$107*Y112^2*Y113*Y115-4*$G$107*Y112*Y113^2*Y115+8*P112*$G$107*Y112*Y114*Y115-8*$G$107*Y112^2*Y114*Y115+16*P112*$G$107*Y113*Y114*Y115+32*P112*Y112*Y113*Y114*Y115-P117*Y112*Y113*Y114*Y115-16*$G$107*Y112*Y113*Y114*Y115-8*$G$107*Y112*Y113*Y114*Y115-4*$G$107*Y112*Y113*Y114*Y115-2*$G$107*Y112*Y113*Y114*Y115-$G$107*Y112*Y113*Y114*Y115-32*Y112^2*Y113*Y114*Y115-16*$G$107*Y113^2*Y114*Y115-32*Y112*Y113^2*Y114*Y115-8*$G$107*Y112*Y114^2*Y115-16*$G$107*Y113*Y114^2*Y115-32*Y112*Y113*Y114^2*Y115-4*$G$107*Y112*Y113*Y115^2-8*$G$107*Y112*Y114*Y115^2-16*$G$107*Y113*Y114*Y115^2-32*Y112*Y113*Y114*Y115^2</f>
        <v>11.114320148349734</v>
      </c>
      <c r="AW109">
        <v>5</v>
      </c>
      <c r="AX109">
        <v>5</v>
      </c>
      <c r="AY109" s="10">
        <f t="shared" si="54"/>
        <v>2.65</v>
      </c>
      <c r="AZ109" s="10">
        <f t="shared" si="55"/>
        <v>2.893413832572909</v>
      </c>
      <c r="BA109" s="10">
        <f t="shared" si="35"/>
        <v>0.24341383257290916</v>
      </c>
      <c r="BB109" s="24">
        <f t="shared" si="36"/>
        <v>0.059250293887832255</v>
      </c>
      <c r="BC109" s="10">
        <f t="shared" si="37"/>
        <v>0.012170691628645458</v>
      </c>
    </row>
    <row r="110" spans="1:55" ht="15.75">
      <c r="A110" s="4" t="s">
        <v>1</v>
      </c>
      <c r="B110" s="5" t="s">
        <v>2</v>
      </c>
      <c r="C110" s="5"/>
      <c r="D110" s="5"/>
      <c r="E110" s="5"/>
      <c r="F110" s="5"/>
      <c r="G110" s="5"/>
      <c r="H110" s="6"/>
      <c r="I110" s="5" t="s">
        <v>3</v>
      </c>
      <c r="J110" s="5"/>
      <c r="K110" s="5"/>
      <c r="L110" s="5"/>
      <c r="M110" s="5"/>
      <c r="N110" s="5"/>
      <c r="O110" s="4" t="s">
        <v>4</v>
      </c>
      <c r="P110" s="4" t="s">
        <v>14</v>
      </c>
      <c r="Q110" s="4" t="s">
        <v>5</v>
      </c>
      <c r="R110" s="4" t="s">
        <v>40</v>
      </c>
      <c r="S110" s="4" t="s">
        <v>42</v>
      </c>
      <c r="T110" s="4" t="s">
        <v>16</v>
      </c>
      <c r="U110" s="4" t="s">
        <v>15</v>
      </c>
      <c r="V110" s="4"/>
      <c r="W110" s="4"/>
      <c r="Y110" s="21" t="s">
        <v>39</v>
      </c>
      <c r="Z110">
        <f>$G$107*P112</f>
        <v>200</v>
      </c>
      <c r="AA110">
        <f>P112*$G$107*Y112-$G$107*Y112^2</f>
        <v>398.65373677452817</v>
      </c>
      <c r="AB110">
        <f>P112*$G$107*Y112*Y113-$G$107*Y112^2*Y113-$G$107*Y112*Y113^2</f>
        <v>257.7842958856075</v>
      </c>
      <c r="AC110">
        <f>P112*$G$107*Y112*Y113*Y114-$G$107*Y112^2*Y113*Y114-$G$107*Y112*Y113^2*Y114-$G$107*Y112*Y113*Y114^2</f>
        <v>62.86659164832821</v>
      </c>
      <c r="AD110">
        <f>P112*$G$107*Y112*Y113*Y114*Y115-$G$107*Y112^2*Y113*Y114*Y115-$G$107*Y112*Y113^2*Y114*Y115-$G$107*Y112*Y113*Y114^2*Y115-$G$107*Y112*Y113*Y114*Y115^2</f>
        <v>5.242367763681415</v>
      </c>
      <c r="AE110" s="4"/>
      <c r="AM110" s="4"/>
      <c r="AN110" s="4" t="s">
        <v>1</v>
      </c>
      <c r="AO110" s="5" t="s">
        <v>31</v>
      </c>
      <c r="AP110" s="5"/>
      <c r="AQ110" s="5"/>
      <c r="AR110" s="5"/>
      <c r="AS110" s="5"/>
      <c r="AT110" s="5"/>
      <c r="AW110">
        <v>5</v>
      </c>
      <c r="AX110">
        <v>6</v>
      </c>
      <c r="AY110" s="10">
        <f t="shared" si="54"/>
        <v>0.12</v>
      </c>
      <c r="AZ110" s="10">
        <f t="shared" si="55"/>
        <v>1.4718182934962467</v>
      </c>
      <c r="BA110" s="10">
        <f t="shared" si="35"/>
        <v>1.3518182934962466</v>
      </c>
      <c r="BB110" s="24">
        <f t="shared" si="36"/>
        <v>1.8274126986311043</v>
      </c>
      <c r="BC110" s="10">
        <f t="shared" si="37"/>
        <v>0.06759091467481233</v>
      </c>
    </row>
    <row r="111" spans="1:55" ht="12.75">
      <c r="A111" s="7" t="s">
        <v>6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11</v>
      </c>
      <c r="G111" s="7" t="s">
        <v>12</v>
      </c>
      <c r="H111" s="7"/>
      <c r="I111" s="7" t="s">
        <v>7</v>
      </c>
      <c r="J111" s="7" t="s">
        <v>8</v>
      </c>
      <c r="K111" s="7" t="s">
        <v>9</v>
      </c>
      <c r="L111" s="7" t="s">
        <v>10</v>
      </c>
      <c r="M111" s="7" t="s">
        <v>11</v>
      </c>
      <c r="N111" s="7" t="s">
        <v>12</v>
      </c>
      <c r="O111" s="7"/>
      <c r="P111" s="7"/>
      <c r="Q111" s="7" t="s">
        <v>41</v>
      </c>
      <c r="R111" s="7" t="s">
        <v>41</v>
      </c>
      <c r="S111" s="7" t="s">
        <v>41</v>
      </c>
      <c r="T111" s="7"/>
      <c r="U111" s="7" t="s">
        <v>41</v>
      </c>
      <c r="V111" s="7" t="s">
        <v>19</v>
      </c>
      <c r="W111" s="15"/>
      <c r="X111" s="4" t="s">
        <v>17</v>
      </c>
      <c r="Y111" s="4">
        <v>1</v>
      </c>
      <c r="Z111" s="15">
        <v>2</v>
      </c>
      <c r="AA111" s="15">
        <v>3</v>
      </c>
      <c r="AB111" s="15">
        <v>4</v>
      </c>
      <c r="AC111" s="15">
        <v>5</v>
      </c>
      <c r="AD111" s="15">
        <v>6</v>
      </c>
      <c r="AE111" s="15"/>
      <c r="AF111" s="4" t="s">
        <v>17</v>
      </c>
      <c r="AG111" s="4">
        <v>1</v>
      </c>
      <c r="AH111" s="15">
        <v>2</v>
      </c>
      <c r="AI111" s="15">
        <v>3</v>
      </c>
      <c r="AJ111" s="15">
        <v>4</v>
      </c>
      <c r="AK111" s="15">
        <v>5</v>
      </c>
      <c r="AL111" s="15">
        <v>6</v>
      </c>
      <c r="AM111" s="15"/>
      <c r="AN111" s="7" t="s">
        <v>6</v>
      </c>
      <c r="AO111" s="7" t="s">
        <v>7</v>
      </c>
      <c r="AP111" s="7" t="s">
        <v>8</v>
      </c>
      <c r="AQ111" s="7" t="s">
        <v>9</v>
      </c>
      <c r="AR111" s="7" t="s">
        <v>10</v>
      </c>
      <c r="AS111" s="7" t="s">
        <v>11</v>
      </c>
      <c r="AT111" s="7" t="s">
        <v>12</v>
      </c>
      <c r="AW111">
        <v>5</v>
      </c>
      <c r="AX111">
        <v>7</v>
      </c>
      <c r="AY111" s="10">
        <f t="shared" si="54"/>
        <v>6.52</v>
      </c>
      <c r="AZ111" s="10">
        <f t="shared" si="55"/>
        <v>4.409114201768364</v>
      </c>
      <c r="BA111" s="10">
        <f t="shared" si="35"/>
        <v>-2.110885798231635</v>
      </c>
      <c r="BB111" s="24">
        <f t="shared" si="36"/>
        <v>4.455838853176007</v>
      </c>
      <c r="BC111" s="10">
        <f t="shared" si="37"/>
        <v>-0.10554428991158175</v>
      </c>
    </row>
    <row r="112" spans="1:55" ht="12.75">
      <c r="A112" s="8" t="s">
        <v>7</v>
      </c>
      <c r="B112" s="25">
        <v>10</v>
      </c>
      <c r="C112" s="26"/>
      <c r="D112" s="26"/>
      <c r="E112" s="26"/>
      <c r="F112" s="26"/>
      <c r="G112" s="26"/>
      <c r="H112" s="10"/>
      <c r="I112" s="9">
        <v>0</v>
      </c>
      <c r="J112" s="10"/>
      <c r="K112" s="10"/>
      <c r="L112" s="10"/>
      <c r="M112" s="10"/>
      <c r="N112" s="10"/>
      <c r="O112" s="11">
        <f>B112</f>
        <v>10</v>
      </c>
      <c r="P112" s="11">
        <f>$G$107-O112</f>
        <v>10</v>
      </c>
      <c r="Q112" s="11">
        <f>$B112</f>
        <v>10</v>
      </c>
      <c r="R112" s="11">
        <f>20-Y118</f>
        <v>10.000000000000002</v>
      </c>
      <c r="S112" s="11">
        <f aca="true" t="shared" si="56" ref="S112:S117">R112/$G$107</f>
        <v>0.5000000000000001</v>
      </c>
      <c r="T112" s="11">
        <f aca="true" t="shared" si="57" ref="T112:T117">Q112/R112</f>
        <v>0.9999999999999998</v>
      </c>
      <c r="U112" s="11">
        <f>AG118</f>
        <v>9.999999999999998</v>
      </c>
      <c r="V112" s="11"/>
      <c r="W112" s="11"/>
      <c r="X112" s="4">
        <v>2</v>
      </c>
      <c r="Y112" s="10">
        <f>(-Z109-SQRT(Z109^2-4*Z108*Z110))/(2*Z108)</f>
        <v>7.251069337286967</v>
      </c>
      <c r="Z112" s="10"/>
      <c r="AA112" s="10"/>
      <c r="AB112" s="10"/>
      <c r="AC112" s="10"/>
      <c r="AD112" s="10"/>
      <c r="AE112" s="11"/>
      <c r="AF112" s="4">
        <v>2</v>
      </c>
      <c r="AG112" s="10">
        <f aca="true" t="shared" si="58" ref="AG112:AG118">Y112</f>
        <v>7.251069337286967</v>
      </c>
      <c r="AH112" s="10"/>
      <c r="AI112" s="10"/>
      <c r="AJ112" s="10"/>
      <c r="AK112" s="10"/>
      <c r="AL112" s="10"/>
      <c r="AM112" s="11"/>
      <c r="AN112" s="8" t="s">
        <v>7</v>
      </c>
      <c r="AO112" s="9">
        <f>$G$107-AG112-AG113-AG114-AG115-AG116-AG117</f>
        <v>10.000000000000002</v>
      </c>
      <c r="AP112" s="10"/>
      <c r="AQ112" s="10"/>
      <c r="AR112" s="10"/>
      <c r="AS112" s="10"/>
      <c r="AT112" s="10"/>
      <c r="AW112">
        <v>5</v>
      </c>
      <c r="AX112">
        <v>2</v>
      </c>
      <c r="AY112" s="10">
        <f aca="true" t="shared" si="59" ref="AY112:AY117">C61</f>
        <v>7.13</v>
      </c>
      <c r="AZ112" s="10">
        <f aca="true" t="shared" si="60" ref="AZ112:AZ117">AP61</f>
        <v>7.611282913569717</v>
      </c>
      <c r="BA112" s="10">
        <f t="shared" si="35"/>
        <v>0.481282913569717</v>
      </c>
      <c r="BB112" s="24">
        <f t="shared" si="36"/>
        <v>0.23163324289415566</v>
      </c>
      <c r="BC112" s="10">
        <f t="shared" si="37"/>
        <v>0.02406414567848585</v>
      </c>
    </row>
    <row r="113" spans="1:55" ht="12.75">
      <c r="A113" s="8" t="s">
        <v>8</v>
      </c>
      <c r="B113" s="26">
        <v>3.89</v>
      </c>
      <c r="C113" s="25">
        <v>13.03</v>
      </c>
      <c r="D113" s="26"/>
      <c r="E113" s="26"/>
      <c r="F113" s="26"/>
      <c r="G113" s="26"/>
      <c r="H113" s="10"/>
      <c r="I113" s="10">
        <v>0</v>
      </c>
      <c r="J113" s="9">
        <v>0</v>
      </c>
      <c r="K113" s="10"/>
      <c r="L113" s="10"/>
      <c r="M113" s="10"/>
      <c r="N113" s="10"/>
      <c r="O113" s="11">
        <f>SUM(B113:C113)</f>
        <v>16.919999999999998</v>
      </c>
      <c r="P113" s="11">
        <f>P112+$G$107-O113</f>
        <v>13.080000000000002</v>
      </c>
      <c r="Q113" s="11">
        <f>C113</f>
        <v>13.03</v>
      </c>
      <c r="R113" s="11">
        <f>20-Z118</f>
        <v>12.41786132542607</v>
      </c>
      <c r="S113" s="11">
        <f t="shared" si="56"/>
        <v>0.6208930662713035</v>
      </c>
      <c r="T113" s="11">
        <f t="shared" si="57"/>
        <v>1.0492950161490813</v>
      </c>
      <c r="U113" s="11">
        <f>AH118</f>
        <v>7.58213867457393</v>
      </c>
      <c r="V113" s="11">
        <f>(U113-Q113)^2</f>
        <v>29.679193021073093</v>
      </c>
      <c r="W113" s="11"/>
      <c r="X113" s="4">
        <v>3</v>
      </c>
      <c r="Y113" s="10">
        <f>(-AA109-SQRT(AA109^2-4*AA108*AA110))/(2*AA108)</f>
        <v>1.7085228081324795</v>
      </c>
      <c r="Z113" s="10">
        <f>$G$107*Y113/Y112</f>
        <v>4.712471302258251</v>
      </c>
      <c r="AA113" s="10"/>
      <c r="AB113" s="10"/>
      <c r="AC113" s="10"/>
      <c r="AD113" s="10"/>
      <c r="AE113" s="11"/>
      <c r="AF113" s="4">
        <v>3</v>
      </c>
      <c r="AG113" s="10">
        <f t="shared" si="58"/>
        <v>1.7085228081324795</v>
      </c>
      <c r="AH113" s="10">
        <f>Z113-(Z113*(Z118-AH118)/Z118)</f>
        <v>4.712471302258251</v>
      </c>
      <c r="AI113" s="10"/>
      <c r="AJ113" s="10"/>
      <c r="AK113" s="10"/>
      <c r="AL113" s="10"/>
      <c r="AM113" s="11"/>
      <c r="AN113" s="8" t="s">
        <v>8</v>
      </c>
      <c r="AO113" s="10">
        <f>AG112-AG113-AG114-AG115-AG116-AG117</f>
        <v>4.502138674573933</v>
      </c>
      <c r="AP113" s="9">
        <f>$G$107-AH113-AH114-AH115-AH116-AH117</f>
        <v>12.41786132542607</v>
      </c>
      <c r="AQ113" s="10"/>
      <c r="AR113" s="10"/>
      <c r="AS113" s="10"/>
      <c r="AT113" s="10"/>
      <c r="AU113" s="10">
        <f>AP113-C113</f>
        <v>-0.612138674573929</v>
      </c>
      <c r="AV113" s="10">
        <f>AU113^2</f>
        <v>0.37471375690912656</v>
      </c>
      <c r="AW113">
        <v>5</v>
      </c>
      <c r="AX113">
        <v>3</v>
      </c>
      <c r="AY113" s="10">
        <f t="shared" si="59"/>
        <v>1.24</v>
      </c>
      <c r="AZ113" s="10">
        <f t="shared" si="60"/>
        <v>1.593252632864766</v>
      </c>
      <c r="BA113" s="10">
        <f t="shared" si="35"/>
        <v>0.35325263286476605</v>
      </c>
      <c r="BB113" s="24">
        <f t="shared" si="36"/>
        <v>0.12478742262588918</v>
      </c>
      <c r="BC113" s="10">
        <f t="shared" si="37"/>
        <v>0.0176626316432383</v>
      </c>
    </row>
    <row r="114" spans="1:55" ht="12.75">
      <c r="A114" s="8" t="s">
        <v>9</v>
      </c>
      <c r="B114" s="26">
        <v>0.76</v>
      </c>
      <c r="C114" s="26">
        <v>2.36</v>
      </c>
      <c r="D114" s="25">
        <v>7.88</v>
      </c>
      <c r="E114" s="26"/>
      <c r="F114" s="26"/>
      <c r="G114" s="26"/>
      <c r="H114" s="10"/>
      <c r="I114" s="10">
        <v>0</v>
      </c>
      <c r="J114" s="10">
        <v>0</v>
      </c>
      <c r="K114" s="9">
        <v>0</v>
      </c>
      <c r="L114" s="10"/>
      <c r="M114" s="10"/>
      <c r="N114" s="10"/>
      <c r="O114" s="11">
        <f>SUM(B114:D114)</f>
        <v>11</v>
      </c>
      <c r="P114" s="11">
        <f>P113+$G$107-O114</f>
        <v>22.08</v>
      </c>
      <c r="Q114" s="11">
        <f>D114</f>
        <v>7.88</v>
      </c>
      <c r="R114" s="11">
        <f>20-AA118</f>
        <v>7.820966162953555</v>
      </c>
      <c r="S114" s="11">
        <f t="shared" si="56"/>
        <v>0.39104830814767777</v>
      </c>
      <c r="T114" s="11">
        <f t="shared" si="57"/>
        <v>1.0075481514452878</v>
      </c>
      <c r="U114" s="11">
        <f>AI118</f>
        <v>12.179033837046445</v>
      </c>
      <c r="V114" s="11">
        <f>(U114-Q114)^2</f>
        <v>18.48169193207028</v>
      </c>
      <c r="W114" s="11"/>
      <c r="X114" s="4">
        <v>4</v>
      </c>
      <c r="Y114" s="10">
        <f>(-AB109-SQRT(AB109^2-4*AB108*AB110))/(2*AB108)</f>
        <v>0.6501458157687258</v>
      </c>
      <c r="Z114" s="10">
        <f>Z113*Y114/Y113</f>
        <v>1.7932412049226987</v>
      </c>
      <c r="AA114" s="10">
        <f>$G$107*Y114/Y113</f>
        <v>7.610619099423965</v>
      </c>
      <c r="AB114" s="10"/>
      <c r="AC114" s="10"/>
      <c r="AD114" s="10"/>
      <c r="AE114" s="11"/>
      <c r="AF114" s="4">
        <v>4</v>
      </c>
      <c r="AG114" s="10">
        <f t="shared" si="58"/>
        <v>0.6501458157687258</v>
      </c>
      <c r="AH114" s="10">
        <f>Z114-(Z114*(Z118-AH118)/Z118)</f>
        <v>1.7932412049226987</v>
      </c>
      <c r="AI114" s="10">
        <f>AA114-(AA114*(AA118-AI118)/AA118)</f>
        <v>7.610619099423965</v>
      </c>
      <c r="AJ114" s="10"/>
      <c r="AK114" s="10"/>
      <c r="AL114" s="10"/>
      <c r="AM114" s="11"/>
      <c r="AN114" s="8" t="s">
        <v>9</v>
      </c>
      <c r="AO114" s="10">
        <f>2*(AG113-AG114-AG115-AG116-AG117)</f>
        <v>1.3362299071038513</v>
      </c>
      <c r="AP114" s="10">
        <f>AH113-AH114-AH115-AH116-AH117</f>
        <v>1.8428039299425727</v>
      </c>
      <c r="AQ114" s="9">
        <f>$G$107-AI114-AI115-AI116-AI117</f>
        <v>7.820966162953557</v>
      </c>
      <c r="AR114" s="10"/>
      <c r="AS114" s="10"/>
      <c r="AT114" s="10"/>
      <c r="AU114" s="10">
        <f>AQ114-D114</f>
        <v>-0.05903383704644316</v>
      </c>
      <c r="AV114" s="10">
        <f>AU114^2</f>
        <v>0.003484993916426005</v>
      </c>
      <c r="AW114">
        <v>5</v>
      </c>
      <c r="AX114">
        <v>4</v>
      </c>
      <c r="AY114" s="10">
        <f t="shared" si="59"/>
        <v>1.44</v>
      </c>
      <c r="AZ114" s="10">
        <f t="shared" si="60"/>
        <v>2.051162274159736</v>
      </c>
      <c r="BA114" s="10">
        <f t="shared" si="35"/>
        <v>0.611162274159736</v>
      </c>
      <c r="BB114" s="24">
        <f t="shared" si="36"/>
        <v>0.37351932535610033</v>
      </c>
      <c r="BC114" s="10">
        <f t="shared" si="37"/>
        <v>0.0305581137079868</v>
      </c>
    </row>
    <row r="115" spans="1:55" ht="12.75">
      <c r="A115" s="8" t="s">
        <v>10</v>
      </c>
      <c r="B115" s="26">
        <v>0.85</v>
      </c>
      <c r="C115" s="26">
        <v>1.47</v>
      </c>
      <c r="D115" s="26">
        <v>5.76</v>
      </c>
      <c r="E115" s="25">
        <v>5.43</v>
      </c>
      <c r="F115" s="26"/>
      <c r="G115" s="26"/>
      <c r="H115" s="10"/>
      <c r="I115" s="10">
        <v>0</v>
      </c>
      <c r="J115" s="10">
        <v>0</v>
      </c>
      <c r="K115" s="10">
        <v>0</v>
      </c>
      <c r="L115" s="9">
        <v>0</v>
      </c>
      <c r="M115" s="10"/>
      <c r="N115" s="10"/>
      <c r="O115" s="11">
        <f>SUM(B115:E115)</f>
        <v>13.51</v>
      </c>
      <c r="P115" s="11">
        <f>P114+$G$107-O115</f>
        <v>28.57</v>
      </c>
      <c r="Q115" s="11">
        <f>E115</f>
        <v>5.43</v>
      </c>
      <c r="R115" s="11">
        <f>20-AB118</f>
        <v>7.994630455311434</v>
      </c>
      <c r="S115" s="11">
        <f t="shared" si="56"/>
        <v>0.39973152276557167</v>
      </c>
      <c r="T115" s="11">
        <f t="shared" si="57"/>
        <v>0.6792058782895265</v>
      </c>
      <c r="U115" s="11">
        <f>AJ118</f>
        <v>12.005369544688566</v>
      </c>
      <c r="V115" s="11">
        <f>(U115-Q115)^2</f>
        <v>43.23548464921792</v>
      </c>
      <c r="W115" s="11"/>
      <c r="X115" s="4">
        <v>5</v>
      </c>
      <c r="Y115" s="10">
        <f>(-AC109-SQRT(AC109^2-4*AC108*AC110))/(2*AC108)</f>
        <v>0.26951275954063786</v>
      </c>
      <c r="Z115" s="10">
        <f>$G$107*Y115/Y112</f>
        <v>0.7433738308216972</v>
      </c>
      <c r="AA115" s="10">
        <f>$G$107*Y115/Y113</f>
        <v>3.1549214123191236</v>
      </c>
      <c r="AB115" s="10">
        <f>$G$107*Y115/Y114</f>
        <v>8.290840393149919</v>
      </c>
      <c r="AC115" s="10"/>
      <c r="AD115" s="10"/>
      <c r="AE115" s="11"/>
      <c r="AF115" s="4">
        <v>5</v>
      </c>
      <c r="AG115" s="10">
        <f t="shared" si="58"/>
        <v>0.26951275954063786</v>
      </c>
      <c r="AH115" s="10">
        <f>Z115-(Z115*(Z118-AH118)/Z118)</f>
        <v>0.7433738308216972</v>
      </c>
      <c r="AI115" s="10">
        <f>AA115-(AA115*(AA118-AI118)/AA118)</f>
        <v>3.1549214123191236</v>
      </c>
      <c r="AJ115" s="10">
        <f>AB115-(AB115*(AB118-AJ118)/AB118)</f>
        <v>8.290840393149919</v>
      </c>
      <c r="AK115" s="10"/>
      <c r="AL115" s="10"/>
      <c r="AM115" s="11"/>
      <c r="AN115" s="8" t="s">
        <v>10</v>
      </c>
      <c r="AO115" s="10">
        <f>4*(AG114-AG115-AG116-AG117)</f>
        <v>1.0395351078275903</v>
      </c>
      <c r="AP115" s="10">
        <f>2*(AH114-AH115-AH116-AH117)</f>
        <v>1.4336300750594377</v>
      </c>
      <c r="AQ115" s="10">
        <f>AI114-AI115-AI116-AI117</f>
        <v>3.0422043618014847</v>
      </c>
      <c r="AR115" s="9">
        <f>$G$107-AJ115-AJ116-AJ117</f>
        <v>7.994630455311434</v>
      </c>
      <c r="AS115" s="10"/>
      <c r="AT115" s="10"/>
      <c r="AU115" s="10">
        <f>AR115-E115</f>
        <v>2.564630455311434</v>
      </c>
      <c r="AV115" s="10">
        <f>AU115^2</f>
        <v>6.577329372310934</v>
      </c>
      <c r="AW115">
        <v>5</v>
      </c>
      <c r="AX115">
        <v>5</v>
      </c>
      <c r="AY115" s="10">
        <f t="shared" si="59"/>
        <v>2.53</v>
      </c>
      <c r="AZ115" s="10">
        <f t="shared" si="60"/>
        <v>2.883506524220551</v>
      </c>
      <c r="BA115" s="10">
        <f t="shared" si="35"/>
        <v>0.3535065242205513</v>
      </c>
      <c r="BB115" s="24">
        <f t="shared" si="36"/>
        <v>0.12496686266649522</v>
      </c>
      <c r="BC115" s="10">
        <f t="shared" si="37"/>
        <v>0.017675326211027565</v>
      </c>
    </row>
    <row r="116" spans="1:55" ht="12.75">
      <c r="A116" s="8" t="s">
        <v>11</v>
      </c>
      <c r="B116" s="26">
        <v>0.82</v>
      </c>
      <c r="C116" s="26">
        <v>1.23</v>
      </c>
      <c r="D116" s="26">
        <v>1.96</v>
      </c>
      <c r="E116" s="26">
        <v>3.69</v>
      </c>
      <c r="F116" s="25">
        <v>14.23</v>
      </c>
      <c r="G116" s="26"/>
      <c r="H116" s="10"/>
      <c r="I116" s="10">
        <v>0.01</v>
      </c>
      <c r="J116" s="10">
        <v>0.01</v>
      </c>
      <c r="K116" s="10">
        <v>0.01</v>
      </c>
      <c r="L116" s="10">
        <v>0.02</v>
      </c>
      <c r="M116" s="9">
        <v>0.04</v>
      </c>
      <c r="N116" s="10"/>
      <c r="O116" s="11">
        <f>SUM(B116:F116)</f>
        <v>21.93</v>
      </c>
      <c r="P116" s="11">
        <f>P115+$G$107-O116</f>
        <v>26.64</v>
      </c>
      <c r="Q116" s="11">
        <f>F116</f>
        <v>14.23</v>
      </c>
      <c r="R116" s="11">
        <f>20-AC118</f>
        <v>11.039438765200025</v>
      </c>
      <c r="S116" s="11">
        <f t="shared" si="56"/>
        <v>0.5519719382600012</v>
      </c>
      <c r="T116" s="11">
        <f t="shared" si="57"/>
        <v>1.2890148043447356</v>
      </c>
      <c r="U116" s="11">
        <f>AK118</f>
        <v>8.960561234799975</v>
      </c>
      <c r="V116" s="11">
        <f>(U116-Q116)^2</f>
        <v>27.766984900192767</v>
      </c>
      <c r="W116" s="11"/>
      <c r="X116" s="4">
        <v>6</v>
      </c>
      <c r="Y116" s="10">
        <f>(-AD109-SQRT(AD109^2-4*AD108*AD110))/(2*AD108)</f>
        <v>0.0800094439165651</v>
      </c>
      <c r="Z116" s="10">
        <f>Z115*Y116/Y115</f>
        <v>0.22068315773822442</v>
      </c>
      <c r="AA116" s="10">
        <f>AA115*Y116/Y115</f>
        <v>0.936592049409283</v>
      </c>
      <c r="AB116" s="10">
        <f>AB115*Y116/Y115</f>
        <v>2.46127690053539</v>
      </c>
      <c r="AC116" s="10">
        <f>$G$107*Y116/Y115</f>
        <v>5.937339965123326</v>
      </c>
      <c r="AD116" s="10"/>
      <c r="AE116" s="11"/>
      <c r="AF116" s="4">
        <v>6</v>
      </c>
      <c r="AG116" s="10">
        <f t="shared" si="58"/>
        <v>0.0800094439165651</v>
      </c>
      <c r="AH116" s="10">
        <f>Z116-(Z116*(Z118-AH118)/Z118)</f>
        <v>0.22068315773822442</v>
      </c>
      <c r="AI116" s="10">
        <f>AA116-(AA116*(AA118-AI118)/AA118)</f>
        <v>0.936592049409283</v>
      </c>
      <c r="AJ116" s="10">
        <f>AB116-(AB116*(AB118-AJ118)/AB118)</f>
        <v>2.46127690053539</v>
      </c>
      <c r="AK116" s="10">
        <f>AC116-(AC116*(AC118-AK118)/AC118)</f>
        <v>5.937339965123326</v>
      </c>
      <c r="AL116" s="10"/>
      <c r="AM116" s="11"/>
      <c r="AN116" s="8" t="s">
        <v>11</v>
      </c>
      <c r="AO116" s="10">
        <f>8*(AG115-AG116-AG117)</f>
        <v>1.1901078421555802</v>
      </c>
      <c r="AP116" s="10">
        <f>4*(AH115-AH116-AH117)</f>
        <v>1.6412859770016577</v>
      </c>
      <c r="AQ116" s="10">
        <f>2*(AI115-AI116-AI117)</f>
        <v>3.4828561740315345</v>
      </c>
      <c r="AR116" s="10">
        <f>AJ115-AJ116-AJ117</f>
        <v>4.576311241611272</v>
      </c>
      <c r="AS116" s="9">
        <f>$G$107-AK116-AK117</f>
        <v>11.039438765200027</v>
      </c>
      <c r="AT116" s="10"/>
      <c r="AU116" s="10">
        <f>AS116-F116</f>
        <v>-3.190561234799974</v>
      </c>
      <c r="AV116" s="10">
        <f>AU116^2</f>
        <v>10.179680993008335</v>
      </c>
      <c r="AW116">
        <v>5</v>
      </c>
      <c r="AX116">
        <v>6</v>
      </c>
      <c r="AY116" s="10">
        <f t="shared" si="59"/>
        <v>2.17</v>
      </c>
      <c r="AZ116" s="10">
        <f t="shared" si="60"/>
        <v>1.4667786557133091</v>
      </c>
      <c r="BA116" s="10">
        <f t="shared" si="35"/>
        <v>-0.7032213442866908</v>
      </c>
      <c r="BB116" s="24">
        <f t="shared" si="36"/>
        <v>0.49452025906038055</v>
      </c>
      <c r="BC116" s="10">
        <f t="shared" si="37"/>
        <v>-0.03516106721433454</v>
      </c>
    </row>
    <row r="117" spans="1:55" ht="12.75">
      <c r="A117" s="8" t="s">
        <v>12</v>
      </c>
      <c r="B117" s="26">
        <v>0.17</v>
      </c>
      <c r="C117" s="26">
        <v>0.99</v>
      </c>
      <c r="D117" s="26">
        <v>1.35</v>
      </c>
      <c r="E117" s="26">
        <v>1.26</v>
      </c>
      <c r="F117" s="26">
        <v>4.74</v>
      </c>
      <c r="G117" s="25">
        <v>9.97</v>
      </c>
      <c r="H117" s="9"/>
      <c r="I117" s="10">
        <v>0.01</v>
      </c>
      <c r="J117" s="10">
        <v>0.02</v>
      </c>
      <c r="K117" s="10">
        <v>0.02</v>
      </c>
      <c r="L117" s="10">
        <v>0.02</v>
      </c>
      <c r="M117" s="10">
        <v>0.05</v>
      </c>
      <c r="N117" s="9">
        <v>0.23</v>
      </c>
      <c r="O117" s="11">
        <f>SUM(B117:G117)</f>
        <v>18.48</v>
      </c>
      <c r="P117" s="11">
        <f>P116+$G$107-O117</f>
        <v>28.16</v>
      </c>
      <c r="Q117" s="11">
        <f>G117</f>
        <v>9.97</v>
      </c>
      <c r="R117" s="11">
        <f>20-AD118</f>
        <v>9.81624334319602</v>
      </c>
      <c r="S117" s="11">
        <f t="shared" si="56"/>
        <v>0.49081216715980097</v>
      </c>
      <c r="T117" s="11">
        <f t="shared" si="57"/>
        <v>1.0156634927872439</v>
      </c>
      <c r="U117" s="11">
        <f>AL118</f>
        <v>10.18375665680398</v>
      </c>
      <c r="V117" s="11">
        <f>(U117-Q117)^2</f>
        <v>0.045691908328014556</v>
      </c>
      <c r="W117" s="11"/>
      <c r="X117" s="4">
        <v>7</v>
      </c>
      <c r="Y117" s="10">
        <f>P112-Y112-Y113-Y114-Y115-Y116</f>
        <v>0.040739835354625234</v>
      </c>
      <c r="Z117" s="10">
        <f>Z115*Y117/Y115</f>
        <v>0.1123691788330583</v>
      </c>
      <c r="AA117" s="10">
        <f>AA115*Y117/Y115</f>
        <v>0.47690127589407344</v>
      </c>
      <c r="AB117" s="10">
        <f>AB115*Y117/Y115</f>
        <v>1.2532522510032575</v>
      </c>
      <c r="AC117" s="10">
        <f>$G$107*Y117/Y115</f>
        <v>3.023221269676649</v>
      </c>
      <c r="AD117" s="10">
        <f>$G$107*Y117/Y116</f>
        <v>10.18375665680398</v>
      </c>
      <c r="AE117" s="11"/>
      <c r="AF117" s="4">
        <v>7</v>
      </c>
      <c r="AG117" s="10">
        <f t="shared" si="58"/>
        <v>0.040739835354625234</v>
      </c>
      <c r="AH117" s="10">
        <f>Z117-(Z117*(Z118-AH118)/Z118)</f>
        <v>0.1123691788330583</v>
      </c>
      <c r="AI117" s="10">
        <f>AA117-(AA117*(AA118-AI118)/AA118)</f>
        <v>0.47690127589407344</v>
      </c>
      <c r="AJ117" s="10">
        <f>AB117-(AB117*(AB118-AJ118)/AB118)</f>
        <v>1.2532522510032575</v>
      </c>
      <c r="AK117" s="10">
        <f>AC117-(AC117*(AC118-AK118)/AC118)</f>
        <v>3.023221269676649</v>
      </c>
      <c r="AL117" s="10">
        <f>AD117-(AD117*(AD118-AL118)/AD118)</f>
        <v>10.18375665680398</v>
      </c>
      <c r="AM117" s="11"/>
      <c r="AN117" s="8" t="s">
        <v>12</v>
      </c>
      <c r="AO117" s="10">
        <f>16*(AG116-AG117)</f>
        <v>0.6283137369910379</v>
      </c>
      <c r="AP117" s="10">
        <f>8*(AH116-AH117)</f>
        <v>0.8665118312413289</v>
      </c>
      <c r="AQ117" s="10">
        <f>4*(AI116-AI117)</f>
        <v>1.8387630940608382</v>
      </c>
      <c r="AR117" s="10">
        <f>2*(AJ116-AJ117)</f>
        <v>2.416049299064265</v>
      </c>
      <c r="AS117" s="10">
        <f>AK116-AK117</f>
        <v>2.914118695446677</v>
      </c>
      <c r="AT117" s="9">
        <f>$G$107-AL117</f>
        <v>9.81624334319602</v>
      </c>
      <c r="AU117" s="10">
        <f>AT117-G117</f>
        <v>-0.15375665680398143</v>
      </c>
      <c r="AV117" s="10">
        <f>AU117^2</f>
        <v>0.023641109511537327</v>
      </c>
      <c r="AW117">
        <v>5</v>
      </c>
      <c r="AX117">
        <v>7</v>
      </c>
      <c r="AY117" s="10">
        <f t="shared" si="59"/>
        <v>5.49</v>
      </c>
      <c r="AZ117" s="10">
        <f t="shared" si="60"/>
        <v>4.394016999471922</v>
      </c>
      <c r="BA117" s="10">
        <f t="shared" si="35"/>
        <v>-1.0959830005280784</v>
      </c>
      <c r="BB117" s="24">
        <f t="shared" si="36"/>
        <v>1.20117873744653</v>
      </c>
      <c r="BC117" s="10">
        <f t="shared" si="37"/>
        <v>-0.05479915002640392</v>
      </c>
    </row>
    <row r="118" spans="1:55" ht="12.75">
      <c r="A118" s="12" t="s">
        <v>13</v>
      </c>
      <c r="B118" s="28">
        <v>3.51</v>
      </c>
      <c r="C118" s="28">
        <v>0.92</v>
      </c>
      <c r="D118" s="28">
        <v>3.05</v>
      </c>
      <c r="E118" s="28">
        <v>9.62</v>
      </c>
      <c r="F118" s="28">
        <v>1.03</v>
      </c>
      <c r="G118" s="28">
        <v>10.03</v>
      </c>
      <c r="H118" s="13"/>
      <c r="I118" s="13"/>
      <c r="J118" s="13"/>
      <c r="K118" s="13"/>
      <c r="L118" s="13"/>
      <c r="M118" s="13"/>
      <c r="N118" s="13"/>
      <c r="O118" s="14">
        <f>SUM(B118:G118)</f>
        <v>28.159999999999997</v>
      </c>
      <c r="P118" s="14"/>
      <c r="Q118" s="14"/>
      <c r="R118" s="14"/>
      <c r="S118" s="14"/>
      <c r="T118" s="14"/>
      <c r="U118" s="14"/>
      <c r="V118" s="14"/>
      <c r="W118" s="22"/>
      <c r="X118" s="16" t="s">
        <v>18</v>
      </c>
      <c r="Y118" s="10">
        <f aca="true" t="shared" si="61" ref="Y118:AD118">SUM(Y112:Y117)</f>
        <v>9.999999999999998</v>
      </c>
      <c r="Z118" s="10">
        <f t="shared" si="61"/>
        <v>7.58213867457393</v>
      </c>
      <c r="AA118" s="10">
        <f t="shared" si="61"/>
        <v>12.179033837046445</v>
      </c>
      <c r="AB118" s="10">
        <f t="shared" si="61"/>
        <v>12.005369544688566</v>
      </c>
      <c r="AC118" s="10">
        <f t="shared" si="61"/>
        <v>8.960561234799975</v>
      </c>
      <c r="AD118" s="10">
        <f t="shared" si="61"/>
        <v>10.18375665680398</v>
      </c>
      <c r="AE118" s="22"/>
      <c r="AF118" s="16" t="s">
        <v>18</v>
      </c>
      <c r="AG118" s="10">
        <f t="shared" si="58"/>
        <v>9.999999999999998</v>
      </c>
      <c r="AH118" s="10">
        <f>Z118*(V107*(Z118/$G$107)^2-V107*(Z118/$G$107)+1)</f>
        <v>7.58213867457393</v>
      </c>
      <c r="AI118" s="10">
        <f>AA118*(V107*(AA118/$G$107)^2-V107*(AA118/$G$107)+1)</f>
        <v>12.179033837046445</v>
      </c>
      <c r="AJ118" s="10">
        <f>AB118*(V107*(AB118/$G$107)^2-V107*(AB118/$G$107)+1)</f>
        <v>12.005369544688566</v>
      </c>
      <c r="AK118" s="10">
        <f>AC118*(V107*(AC118/$G$107)^2-V107*(AC118/$G$107)+1)</f>
        <v>8.960561234799975</v>
      </c>
      <c r="AL118" s="10">
        <f>AD118*(V107*(AD118/$G$107)^2-V107*(AD118/$G$107)+1)</f>
        <v>10.18375665680398</v>
      </c>
      <c r="AM118" s="22"/>
      <c r="AN118" s="12" t="s">
        <v>13</v>
      </c>
      <c r="AO118" s="13">
        <f>32*AG117</f>
        <v>1.3036747313480075</v>
      </c>
      <c r="AP118" s="13">
        <f>16*AH117</f>
        <v>1.7979068613289328</v>
      </c>
      <c r="AQ118" s="13">
        <f>8*AI117</f>
        <v>3.8152102071525875</v>
      </c>
      <c r="AR118" s="13">
        <f>4*AJ117</f>
        <v>5.01300900401303</v>
      </c>
      <c r="AS118" s="13">
        <f>2*AK117</f>
        <v>6.046442539353298</v>
      </c>
      <c r="AT118" s="13">
        <f>AL117</f>
        <v>10.18375665680398</v>
      </c>
      <c r="AW118">
        <v>5</v>
      </c>
      <c r="AX118">
        <v>3</v>
      </c>
      <c r="AY118" s="10">
        <f>D62</f>
        <v>5.59</v>
      </c>
      <c r="AZ118" s="10">
        <f>AQ62</f>
        <v>4.558020550326572</v>
      </c>
      <c r="BA118" s="10">
        <f t="shared" si="35"/>
        <v>-1.031979449673428</v>
      </c>
      <c r="BB118" s="24">
        <f t="shared" si="36"/>
        <v>1.0649815845482713</v>
      </c>
      <c r="BC118" s="10">
        <f t="shared" si="37"/>
        <v>-0.0515989724836714</v>
      </c>
    </row>
    <row r="119" spans="49:55" ht="12.75">
      <c r="AW119">
        <v>5</v>
      </c>
      <c r="AX119">
        <v>4</v>
      </c>
      <c r="AY119" s="10">
        <f>D63</f>
        <v>2.47</v>
      </c>
      <c r="AZ119" s="10">
        <f>AQ63</f>
        <v>2.9340104653912116</v>
      </c>
      <c r="BA119" s="10">
        <f t="shared" si="35"/>
        <v>0.4640104653912114</v>
      </c>
      <c r="BB119" s="24">
        <f t="shared" si="36"/>
        <v>0.21530571199256857</v>
      </c>
      <c r="BC119" s="10">
        <f t="shared" si="37"/>
        <v>0.02320052326956057</v>
      </c>
    </row>
    <row r="120" spans="1:55" ht="12.75">
      <c r="A120" s="2" t="s">
        <v>53</v>
      </c>
      <c r="F120" t="s">
        <v>30</v>
      </c>
      <c r="G120">
        <v>20</v>
      </c>
      <c r="O120" s="18" t="s">
        <v>22</v>
      </c>
      <c r="P120" s="20">
        <f>AVERAGE(S126:S130)*$G$120</f>
        <v>9.526090478014059</v>
      </c>
      <c r="Q120" s="8" t="s">
        <v>24</v>
      </c>
      <c r="R120">
        <f>P120/$G$120</f>
        <v>0.47630452390070294</v>
      </c>
      <c r="T120" s="19">
        <f>(P121-1)/(R120^2-R120)</f>
        <v>-0.10264800763195799</v>
      </c>
      <c r="U120" s="18" t="s">
        <v>20</v>
      </c>
      <c r="V120" s="19">
        <v>0</v>
      </c>
      <c r="W120" s="19"/>
      <c r="Y120" s="11"/>
      <c r="Z120" s="4" t="s">
        <v>32</v>
      </c>
      <c r="AA120" s="4" t="s">
        <v>33</v>
      </c>
      <c r="AB120" s="4" t="s">
        <v>34</v>
      </c>
      <c r="AC120" s="4" t="s">
        <v>35</v>
      </c>
      <c r="AD120" s="4" t="s">
        <v>36</v>
      </c>
      <c r="AW120">
        <v>5</v>
      </c>
      <c r="AX120">
        <v>5</v>
      </c>
      <c r="AY120" s="10">
        <f>D64</f>
        <v>2.85</v>
      </c>
      <c r="AZ120" s="10">
        <f>AQ64</f>
        <v>4.124607021915269</v>
      </c>
      <c r="BA120" s="10">
        <f t="shared" si="35"/>
        <v>1.2746070219152688</v>
      </c>
      <c r="BB120" s="24">
        <f t="shared" si="36"/>
        <v>1.6246230603157104</v>
      </c>
      <c r="BC120" s="10">
        <f t="shared" si="37"/>
        <v>0.06373035109576344</v>
      </c>
    </row>
    <row r="121" spans="1:5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2" t="s">
        <v>23</v>
      </c>
      <c r="P121" s="3">
        <f>Q125/P120</f>
        <v>1.0256043675575912</v>
      </c>
      <c r="Q121" s="12"/>
      <c r="R121" s="3"/>
      <c r="S121" s="3"/>
      <c r="T121" s="3"/>
      <c r="U121" s="17" t="s">
        <v>21</v>
      </c>
      <c r="V121" s="13">
        <f>SUM(V126:V130)</f>
        <v>60.60989637412331</v>
      </c>
      <c r="W121" s="19"/>
      <c r="Y121" s="21" t="s">
        <v>37</v>
      </c>
      <c r="Z121">
        <f>-2</f>
        <v>-2</v>
      </c>
      <c r="AA121">
        <f>-2*$G$120-4*Y125</f>
        <v>-68.52375303742386</v>
      </c>
      <c r="AB121">
        <f>-2*$G$120*Y125-4*$G$120*Y126-8*Y125*Y126</f>
        <v>-551.7251005721494</v>
      </c>
      <c r="AC121">
        <f>-2*$G$120*Y125*Y126-4*$G$120*Y125*Y127-8*$G$120*Y126*Y127-16*Y125*Y126*Y127</f>
        <v>-1408.524573226519</v>
      </c>
      <c r="AD121">
        <f>-2*$G$120*Y125*Y126*Y127-4*$G$120*Y125*Y126*Y128-8*$G$120*Y125*Y127*Y128-16*$G$120*Y126*Y127*Y128-32*Y125*Y126*Y127*Y128</f>
        <v>-1123.6412183340947</v>
      </c>
      <c r="AE121" s="19"/>
      <c r="AM121" s="19"/>
      <c r="AN121" s="3"/>
      <c r="AO121" s="3"/>
      <c r="AP121" s="3"/>
      <c r="AQ121" s="3"/>
      <c r="AR121" s="3"/>
      <c r="AS121" s="3"/>
      <c r="AT121" s="3"/>
      <c r="AW121">
        <v>5</v>
      </c>
      <c r="AX121">
        <v>6</v>
      </c>
      <c r="AY121" s="10">
        <f>D65</f>
        <v>2.65</v>
      </c>
      <c r="AZ121" s="10">
        <f>AQ65</f>
        <v>2.0981001749548365</v>
      </c>
      <c r="BA121" s="10">
        <f t="shared" si="35"/>
        <v>-0.5518998250451634</v>
      </c>
      <c r="BB121" s="24">
        <f t="shared" si="36"/>
        <v>0.304593416884882</v>
      </c>
      <c r="BC121" s="10">
        <f t="shared" si="37"/>
        <v>-0.027594991252258172</v>
      </c>
    </row>
    <row r="122" spans="25:55" ht="12.75">
      <c r="Y122" s="21" t="s">
        <v>38</v>
      </c>
      <c r="Z122">
        <f>2*P125-$G$120-P126</f>
        <v>-14.43</v>
      </c>
      <c r="AA122">
        <f>2*P125*$G$120+4*P125*Y125-P127*Y125-2*$G$120*Y125-$G$120*Y125-4*Y125^2</f>
        <v>-94.05707564090508</v>
      </c>
      <c r="AB122">
        <f>2*P125*$G$120*Y125-2*$G$120*Y125^2+4*P125*$G$120*Y126+8*P125*Y125*Y126-P128*Y125*Y126-4*$G$120*Y125*Y126-2*$G$120*Y125*Y126-$G$120*Y125*Y126-8*Y125^2*Y126-4*$G$120*Y126^2-8*Y125*Y126^2</f>
        <v>13.17273944760953</v>
      </c>
      <c r="AC122">
        <f>2*P125*$G$120*Y125*Y126-2*$G$120*Y125^2*Y126-2*$G$120*Y125*Y126^2+4*P125*$G$120*Y125*Y127-4*$G$120*Y125^2*Y127+8*P125*$G$120*Y126*Y127+16*P125*Y125*Y126*Y127-P129*Y125*Y126*Y127-8*$G$120*Y125*Y126*Y127-4*$G$120*Y125*Y126*Y127-2*$G$120*Y125*Y126*Y127-$G$120*Y125*Y126*Y127-16*Y125^2*Y126*Y127-8*$G$120*Y126^2*Y127-16*Y125*Y126^2*Y127-4*$G$120*Y125*Y127^2-8*$G$120*Y126*Y127^2-16*Y125*Y126*Y127^2</f>
        <v>15.773040397747991</v>
      </c>
      <c r="AD122">
        <f>2*P125*$G$120*Y125*Y126*Y127-2*$G$120*Y125^2*Y126*Y127-2*$G$120*Y125*Y126^2*Y127-2*$G$120*Y125*Y126*Y127^2+4*P125*$G$120*Y125*Y126*Y128-4*$G$120*Y125^2*Y126*Y128-4*$G$120*Y125*Y126^2*Y128+8*P125*$G$120*Y125*Y127*Y128-8*$G$120*Y125^2*Y127*Y128+16*P125*$G$120*Y126*Y127*Y128+32*P125*Y125*Y126*Y127*Y128-P130*Y125*Y126*Y127*Y128-16*$G$120*Y125*Y126*Y127*Y128-8*$G$120*Y125*Y126*Y127*Y128-4*$G$120*Y125*Y126*Y127*Y128-2*$G$120*Y125*Y126*Y127*Y128-$G$120*Y125*Y126*Y127*Y128-32*Y125^2*Y126*Y127*Y128-16*$G$120*Y126^2*Y127*Y128-32*Y125*Y126^2*Y127*Y128-8*$G$120*Y125*Y127^2*Y128-16*$G$120*Y126*Y127^2*Y128-32*Y125*Y126*Y127^2*Y128-4*$G$120*Y125*Y126*Y128^2-8*$G$120*Y125*Y127*Y128^2-16*$G$120*Y126*Y127*Y128^2-32*Y125*Y126*Y127*Y128^2</f>
        <v>14.891846690213324</v>
      </c>
      <c r="AW122">
        <v>5</v>
      </c>
      <c r="AX122">
        <v>7</v>
      </c>
      <c r="AY122" s="10">
        <f>D66</f>
        <v>6.44</v>
      </c>
      <c r="AZ122" s="10">
        <f>AQ66</f>
        <v>6.285261787412112</v>
      </c>
      <c r="BA122" s="10">
        <f t="shared" si="35"/>
        <v>-0.15473821258788867</v>
      </c>
      <c r="BB122" s="24">
        <f t="shared" si="36"/>
        <v>0.023943914434894627</v>
      </c>
      <c r="BC122" s="10">
        <f t="shared" si="37"/>
        <v>-0.007736910629394434</v>
      </c>
    </row>
    <row r="123" spans="1:55" ht="15.75">
      <c r="A123" s="4" t="s">
        <v>1</v>
      </c>
      <c r="B123" s="5" t="s">
        <v>2</v>
      </c>
      <c r="C123" s="5"/>
      <c r="D123" s="5"/>
      <c r="E123" s="5"/>
      <c r="F123" s="5"/>
      <c r="G123" s="5"/>
      <c r="H123" s="6"/>
      <c r="I123" s="5" t="s">
        <v>3</v>
      </c>
      <c r="J123" s="5"/>
      <c r="K123" s="5"/>
      <c r="L123" s="5"/>
      <c r="M123" s="5"/>
      <c r="N123" s="5"/>
      <c r="O123" s="4" t="s">
        <v>4</v>
      </c>
      <c r="P123" s="4" t="s">
        <v>14</v>
      </c>
      <c r="Q123" s="4" t="s">
        <v>5</v>
      </c>
      <c r="R123" s="4" t="s">
        <v>40</v>
      </c>
      <c r="S123" s="4" t="s">
        <v>42</v>
      </c>
      <c r="T123" s="4" t="s">
        <v>16</v>
      </c>
      <c r="U123" s="4" t="s">
        <v>15</v>
      </c>
      <c r="V123" s="4"/>
      <c r="W123" s="4"/>
      <c r="Y123" s="21" t="s">
        <v>39</v>
      </c>
      <c r="Z123">
        <f>$G$120*P125</f>
        <v>204.60000000000002</v>
      </c>
      <c r="AA123">
        <f>P125*$G$120*Y125-$G$120*Y125^2</f>
        <v>441.98435868929687</v>
      </c>
      <c r="AB123">
        <f>P125*$G$120*Y125*Y126-$G$120*Y125^2*Y126-$G$120*Y125*Y126^2</f>
        <v>320.18666220610123</v>
      </c>
      <c r="AC123">
        <f>P125*$G$120*Y125*Y126*Y127-$G$120*Y125^2*Y126*Y127-$G$120*Y125*Y126^2*Y127-$G$120*Y125*Y126*Y127^2</f>
        <v>81.70675845168557</v>
      </c>
      <c r="AD123">
        <f>P125*$G$120*Y125*Y126*Y127*Y128-$G$120*Y125^2*Y126*Y127*Y128-$G$120*Y125*Y126^2*Y127*Y128-$G$120*Y125*Y126*Y127^2*Y128-$G$120*Y125*Y126*Y127*Y128^2</f>
        <v>7.100842339474392</v>
      </c>
      <c r="AE123" s="4"/>
      <c r="AM123" s="4"/>
      <c r="AN123" s="4" t="s">
        <v>1</v>
      </c>
      <c r="AO123" s="5" t="s">
        <v>31</v>
      </c>
      <c r="AP123" s="5"/>
      <c r="AQ123" s="5"/>
      <c r="AR123" s="5"/>
      <c r="AS123" s="5"/>
      <c r="AT123" s="5"/>
      <c r="AW123">
        <v>5</v>
      </c>
      <c r="AX123">
        <v>4</v>
      </c>
      <c r="AY123" s="10">
        <f>E63</f>
        <v>7.78</v>
      </c>
      <c r="AZ123" s="10">
        <f>AR63</f>
        <v>6.386617491525524</v>
      </c>
      <c r="BA123" s="10">
        <f t="shared" si="35"/>
        <v>-1.3933825084744766</v>
      </c>
      <c r="BB123" s="24">
        <f t="shared" si="36"/>
        <v>1.941514814922625</v>
      </c>
      <c r="BC123" s="10">
        <f t="shared" si="37"/>
        <v>-0.06966912542372383</v>
      </c>
    </row>
    <row r="124" spans="1:55" ht="12.75">
      <c r="A124" s="7" t="s">
        <v>6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11</v>
      </c>
      <c r="G124" s="7" t="s">
        <v>12</v>
      </c>
      <c r="H124" s="7"/>
      <c r="I124" s="7" t="s">
        <v>7</v>
      </c>
      <c r="J124" s="7" t="s">
        <v>8</v>
      </c>
      <c r="K124" s="7" t="s">
        <v>9</v>
      </c>
      <c r="L124" s="7" t="s">
        <v>10</v>
      </c>
      <c r="M124" s="7" t="s">
        <v>11</v>
      </c>
      <c r="N124" s="7" t="s">
        <v>12</v>
      </c>
      <c r="O124" s="7"/>
      <c r="P124" s="7"/>
      <c r="Q124" s="7" t="s">
        <v>41</v>
      </c>
      <c r="R124" s="7" t="s">
        <v>41</v>
      </c>
      <c r="S124" s="7" t="s">
        <v>41</v>
      </c>
      <c r="T124" s="7"/>
      <c r="U124" s="7" t="s">
        <v>41</v>
      </c>
      <c r="V124" s="7" t="s">
        <v>19</v>
      </c>
      <c r="W124" s="15"/>
      <c r="X124" s="4" t="s">
        <v>17</v>
      </c>
      <c r="Y124" s="4">
        <v>1</v>
      </c>
      <c r="Z124" s="15">
        <v>2</v>
      </c>
      <c r="AA124" s="15">
        <v>3</v>
      </c>
      <c r="AB124" s="15">
        <v>4</v>
      </c>
      <c r="AC124" s="15">
        <v>5</v>
      </c>
      <c r="AD124" s="15">
        <v>6</v>
      </c>
      <c r="AE124" s="15"/>
      <c r="AF124" s="4" t="s">
        <v>17</v>
      </c>
      <c r="AG124" s="4">
        <v>1</v>
      </c>
      <c r="AH124" s="15">
        <v>2</v>
      </c>
      <c r="AI124" s="15">
        <v>3</v>
      </c>
      <c r="AJ124" s="15">
        <v>4</v>
      </c>
      <c r="AK124" s="15">
        <v>5</v>
      </c>
      <c r="AL124" s="15">
        <v>6</v>
      </c>
      <c r="AM124" s="15"/>
      <c r="AN124" s="7" t="s">
        <v>6</v>
      </c>
      <c r="AO124" s="7" t="s">
        <v>7</v>
      </c>
      <c r="AP124" s="7" t="s">
        <v>8</v>
      </c>
      <c r="AQ124" s="7" t="s">
        <v>9</v>
      </c>
      <c r="AR124" s="7" t="s">
        <v>10</v>
      </c>
      <c r="AS124" s="7" t="s">
        <v>11</v>
      </c>
      <c r="AT124" s="7" t="s">
        <v>12</v>
      </c>
      <c r="AW124">
        <v>5</v>
      </c>
      <c r="AX124">
        <v>5</v>
      </c>
      <c r="AY124" s="10">
        <f>E64</f>
        <v>5.93</v>
      </c>
      <c r="AZ124" s="10">
        <f>AR64</f>
        <v>4.489126344735219</v>
      </c>
      <c r="BA124" s="10">
        <f t="shared" si="35"/>
        <v>-1.440873655264781</v>
      </c>
      <c r="BB124" s="24">
        <f t="shared" si="36"/>
        <v>2.076116890436091</v>
      </c>
      <c r="BC124" s="10">
        <f t="shared" si="37"/>
        <v>-0.07204368276323905</v>
      </c>
    </row>
    <row r="125" spans="1:55" ht="12.75">
      <c r="A125" s="8" t="s">
        <v>7</v>
      </c>
      <c r="B125" s="25">
        <v>9.77</v>
      </c>
      <c r="C125" s="26"/>
      <c r="D125" s="26"/>
      <c r="E125" s="26"/>
      <c r="F125" s="27"/>
      <c r="G125" s="26"/>
      <c r="H125" s="10"/>
      <c r="I125" s="9">
        <v>0</v>
      </c>
      <c r="J125" s="10"/>
      <c r="K125" s="10"/>
      <c r="L125" s="10"/>
      <c r="M125" s="10"/>
      <c r="N125" s="10"/>
      <c r="O125" s="11">
        <f>B125</f>
        <v>9.77</v>
      </c>
      <c r="P125" s="11">
        <f>$G$120-O125</f>
        <v>10.23</v>
      </c>
      <c r="Q125" s="11">
        <f>$B125</f>
        <v>9.77</v>
      </c>
      <c r="R125" s="11">
        <f>20-Y131</f>
        <v>9.77</v>
      </c>
      <c r="S125" s="11">
        <f aca="true" t="shared" si="62" ref="S125:S130">R125/$G$120</f>
        <v>0.4885</v>
      </c>
      <c r="T125" s="11">
        <f aca="true" t="shared" si="63" ref="T125:T130">Q125/R125</f>
        <v>1</v>
      </c>
      <c r="U125" s="11">
        <f>AG131</f>
        <v>10.23</v>
      </c>
      <c r="V125" s="11"/>
      <c r="W125" s="11"/>
      <c r="X125" s="4">
        <v>2</v>
      </c>
      <c r="Y125" s="10">
        <f>(-Z122-SQRT(Z122^2-4*Z121*Z123))/(2*Z121)</f>
        <v>7.1309382593559665</v>
      </c>
      <c r="Z125" s="10"/>
      <c r="AA125" s="10"/>
      <c r="AB125" s="10"/>
      <c r="AC125" s="10"/>
      <c r="AD125" s="10"/>
      <c r="AE125" s="11"/>
      <c r="AF125" s="4">
        <v>2</v>
      </c>
      <c r="AG125" s="10">
        <f aca="true" t="shared" si="64" ref="AG125:AG131">Y125</f>
        <v>7.1309382593559665</v>
      </c>
      <c r="AH125" s="10"/>
      <c r="AI125" s="10"/>
      <c r="AJ125" s="10"/>
      <c r="AK125" s="10"/>
      <c r="AL125" s="10"/>
      <c r="AM125" s="11"/>
      <c r="AN125" s="8" t="s">
        <v>7</v>
      </c>
      <c r="AO125" s="9">
        <f>$G$120-AG125-AG126-AG127-AG128-AG129-AG130</f>
        <v>9.77</v>
      </c>
      <c r="AP125" s="10"/>
      <c r="AQ125" s="10"/>
      <c r="AR125" s="10"/>
      <c r="AS125" s="10"/>
      <c r="AT125" s="10"/>
      <c r="AW125">
        <v>5</v>
      </c>
      <c r="AX125">
        <v>6</v>
      </c>
      <c r="AY125" s="10">
        <f>E65</f>
        <v>2.38</v>
      </c>
      <c r="AZ125" s="10">
        <f>AR65</f>
        <v>2.283523428835596</v>
      </c>
      <c r="BA125" s="10">
        <f t="shared" si="35"/>
        <v>-0.09647657116440378</v>
      </c>
      <c r="BB125" s="24">
        <f t="shared" si="36"/>
        <v>0.009307728783640267</v>
      </c>
      <c r="BC125" s="10">
        <f t="shared" si="37"/>
        <v>-0.004823828558220189</v>
      </c>
    </row>
    <row r="126" spans="1:55" ht="12.75">
      <c r="A126" s="8" t="s">
        <v>8</v>
      </c>
      <c r="B126" s="26">
        <v>5.5</v>
      </c>
      <c r="C126" s="25">
        <v>9.84</v>
      </c>
      <c r="D126" s="26"/>
      <c r="E126" s="26"/>
      <c r="F126" s="27"/>
      <c r="G126" s="26"/>
      <c r="H126" s="10"/>
      <c r="I126" s="10">
        <v>0</v>
      </c>
      <c r="J126" s="9">
        <v>0</v>
      </c>
      <c r="K126" s="10"/>
      <c r="L126" s="10"/>
      <c r="M126" s="10"/>
      <c r="N126" s="10"/>
      <c r="O126" s="11">
        <f>SUM(B126:C126)</f>
        <v>15.34</v>
      </c>
      <c r="P126" s="11">
        <f>P125+$G$120-O126</f>
        <v>14.89</v>
      </c>
      <c r="Q126" s="11">
        <f>C126</f>
        <v>9.84</v>
      </c>
      <c r="R126" s="11">
        <f>20-Z131</f>
        <v>11.308123481288064</v>
      </c>
      <c r="S126" s="11">
        <f t="shared" si="62"/>
        <v>0.5654061740644032</v>
      </c>
      <c r="T126" s="11">
        <f t="shared" si="63"/>
        <v>0.8701709011475319</v>
      </c>
      <c r="U126" s="11">
        <f>AH131</f>
        <v>8.691876518711936</v>
      </c>
      <c r="V126" s="11">
        <f>(U126-Q126)^2</f>
        <v>1.3181875282850226</v>
      </c>
      <c r="W126" s="11"/>
      <c r="X126" s="4">
        <v>3</v>
      </c>
      <c r="Y126" s="10">
        <f>(-AA122-SQRT(AA122^2-4*AA121*AA123))/(2*AA121)</f>
        <v>1.9444904750938703</v>
      </c>
      <c r="Z126" s="10">
        <f>$G$120*Y126/Y125</f>
        <v>5.453673568250717</v>
      </c>
      <c r="AA126" s="10"/>
      <c r="AB126" s="10"/>
      <c r="AC126" s="10"/>
      <c r="AD126" s="10"/>
      <c r="AE126" s="11"/>
      <c r="AF126" s="4">
        <v>3</v>
      </c>
      <c r="AG126" s="10">
        <f t="shared" si="64"/>
        <v>1.9444904750938703</v>
      </c>
      <c r="AH126" s="10">
        <f>Z126-(Z126*(Z131-AH131)/Z131)</f>
        <v>5.453673568250717</v>
      </c>
      <c r="AI126" s="10"/>
      <c r="AJ126" s="10"/>
      <c r="AK126" s="10"/>
      <c r="AL126" s="10"/>
      <c r="AM126" s="11"/>
      <c r="AN126" s="8" t="s">
        <v>8</v>
      </c>
      <c r="AO126" s="10">
        <f>AG125-AG126-AG127-AG128-AG129-AG130</f>
        <v>4.0318765187119325</v>
      </c>
      <c r="AP126" s="9">
        <f>$G$120-AH126-AH127-AH128-AH129-AH130</f>
        <v>11.308123481288064</v>
      </c>
      <c r="AQ126" s="10"/>
      <c r="AR126" s="10"/>
      <c r="AS126" s="10"/>
      <c r="AT126" s="10"/>
      <c r="AU126" s="10">
        <f>AP126-C126</f>
        <v>1.468123481288064</v>
      </c>
      <c r="AV126" s="10">
        <f>AU126^2</f>
        <v>2.1553865563093844</v>
      </c>
      <c r="AW126">
        <v>5</v>
      </c>
      <c r="AX126">
        <v>7</v>
      </c>
      <c r="AY126" s="10">
        <f>E66</f>
        <v>3.91</v>
      </c>
      <c r="AZ126" s="10">
        <f>AR66</f>
        <v>6.840732734903661</v>
      </c>
      <c r="BA126" s="10">
        <f t="shared" si="35"/>
        <v>2.9307327349036605</v>
      </c>
      <c r="BB126" s="24">
        <f t="shared" si="36"/>
        <v>8.58919436343589</v>
      </c>
      <c r="BC126" s="10">
        <f t="shared" si="37"/>
        <v>0.14653663674518302</v>
      </c>
    </row>
    <row r="127" spans="1:55" ht="12.75">
      <c r="A127" s="8" t="s">
        <v>9</v>
      </c>
      <c r="B127" s="26">
        <v>0.48</v>
      </c>
      <c r="C127" s="26">
        <v>2.49</v>
      </c>
      <c r="D127" s="25">
        <v>8.95</v>
      </c>
      <c r="E127" s="26"/>
      <c r="F127" s="27"/>
      <c r="G127" s="26"/>
      <c r="H127" s="10"/>
      <c r="I127" s="10">
        <v>0</v>
      </c>
      <c r="J127" s="10">
        <v>0</v>
      </c>
      <c r="K127" s="9">
        <v>0</v>
      </c>
      <c r="L127" s="10"/>
      <c r="M127" s="10"/>
      <c r="N127" s="10"/>
      <c r="O127" s="11">
        <f>SUM(B127:D127)</f>
        <v>11.92</v>
      </c>
      <c r="P127" s="11">
        <f>P126+$G$120-O127</f>
        <v>22.97</v>
      </c>
      <c r="Q127" s="11">
        <f>D127</f>
        <v>8.95</v>
      </c>
      <c r="R127" s="11">
        <f>20-AA131</f>
        <v>8.12469096312311</v>
      </c>
      <c r="S127" s="11">
        <f t="shared" si="62"/>
        <v>0.40623454815615545</v>
      </c>
      <c r="T127" s="11">
        <f t="shared" si="63"/>
        <v>1.1015803604866767</v>
      </c>
      <c r="U127" s="11">
        <f>AI131</f>
        <v>11.87530903687689</v>
      </c>
      <c r="V127" s="11">
        <f>(U127-Q127)^2</f>
        <v>8.557432961233605</v>
      </c>
      <c r="W127" s="11"/>
      <c r="X127" s="4">
        <v>4</v>
      </c>
      <c r="Y127" s="10">
        <f>(-AB122-SQRT(AB122^2-4*AB121*AB123))/(2*AB121)</f>
        <v>0.7738300390801693</v>
      </c>
      <c r="Z127" s="10">
        <f>Z126*Y127/Y126</f>
        <v>2.170345642987121</v>
      </c>
      <c r="AA127" s="10">
        <f>$G$120*Y127/Y126</f>
        <v>7.959206270144499</v>
      </c>
      <c r="AB127" s="10"/>
      <c r="AC127" s="10"/>
      <c r="AD127" s="10"/>
      <c r="AE127" s="11"/>
      <c r="AF127" s="4">
        <v>4</v>
      </c>
      <c r="AG127" s="10">
        <f t="shared" si="64"/>
        <v>0.7738300390801693</v>
      </c>
      <c r="AH127" s="10">
        <f>Z127-(Z127*(Z131-AH131)/Z131)</f>
        <v>2.170345642987121</v>
      </c>
      <c r="AI127" s="10">
        <f>AA127-(AA127*(AA131-AI131)/AA131)</f>
        <v>7.959206270144499</v>
      </c>
      <c r="AJ127" s="10"/>
      <c r="AK127" s="10"/>
      <c r="AL127" s="10"/>
      <c r="AM127" s="11"/>
      <c r="AN127" s="8" t="s">
        <v>9</v>
      </c>
      <c r="AO127" s="10">
        <f>2*(AG126-AG127-AG128-AG129-AG130)</f>
        <v>1.5798384190874133</v>
      </c>
      <c r="AP127" s="10">
        <f>AH126-AH127-AH128-AH129-AH130</f>
        <v>2.215470617789499</v>
      </c>
      <c r="AQ127" s="9">
        <f>$G$120-AI127-AI128-AI129-AI130</f>
        <v>8.12469096312311</v>
      </c>
      <c r="AR127" s="10"/>
      <c r="AS127" s="10"/>
      <c r="AT127" s="10"/>
      <c r="AU127" s="10">
        <f>AQ127-D127</f>
        <v>-0.8253090368768898</v>
      </c>
      <c r="AV127" s="10">
        <f>AU127^2</f>
        <v>0.6811350063506595</v>
      </c>
      <c r="AW127">
        <v>5</v>
      </c>
      <c r="AX127">
        <v>5</v>
      </c>
      <c r="AY127" s="10">
        <f>F64</f>
        <v>10.35</v>
      </c>
      <c r="AZ127" s="10">
        <f>AS64</f>
        <v>9.919346276556064</v>
      </c>
      <c r="BA127" s="10">
        <f t="shared" si="35"/>
        <v>-0.4306537234439354</v>
      </c>
      <c r="BB127" s="24">
        <f t="shared" si="36"/>
        <v>0.18546262951612558</v>
      </c>
      <c r="BC127" s="10">
        <f t="shared" si="37"/>
        <v>-0.02153268617219677</v>
      </c>
    </row>
    <row r="128" spans="1:55" ht="12.75">
      <c r="A128" s="8" t="s">
        <v>10</v>
      </c>
      <c r="B128" s="26">
        <v>0.8</v>
      </c>
      <c r="C128" s="26">
        <v>1.68</v>
      </c>
      <c r="D128" s="26">
        <v>6.09</v>
      </c>
      <c r="E128" s="25">
        <v>9.41</v>
      </c>
      <c r="F128" s="27"/>
      <c r="G128" s="26"/>
      <c r="H128" s="10"/>
      <c r="I128" s="10">
        <v>0</v>
      </c>
      <c r="J128" s="10">
        <v>0</v>
      </c>
      <c r="K128" s="10">
        <v>0</v>
      </c>
      <c r="L128" s="9">
        <v>0</v>
      </c>
      <c r="M128" s="10"/>
      <c r="N128" s="10"/>
      <c r="O128" s="11">
        <f>SUM(B128:E128)</f>
        <v>17.98</v>
      </c>
      <c r="P128" s="11">
        <f>P127+$G$120-O128</f>
        <v>24.99</v>
      </c>
      <c r="Q128" s="11">
        <f>E128</f>
        <v>9.41</v>
      </c>
      <c r="R128" s="11">
        <f>20-AB131</f>
        <v>10.159564575121147</v>
      </c>
      <c r="S128" s="11">
        <f t="shared" si="62"/>
        <v>0.5079782287560574</v>
      </c>
      <c r="T128" s="11">
        <f t="shared" si="63"/>
        <v>0.9262207972025998</v>
      </c>
      <c r="U128" s="11">
        <f>AJ131</f>
        <v>9.840435424878853</v>
      </c>
      <c r="V128" s="11">
        <f>(U128-Q128)^2</f>
        <v>0.1852746549906388</v>
      </c>
      <c r="W128" s="11"/>
      <c r="X128" s="4">
        <v>5</v>
      </c>
      <c r="Y128" s="10">
        <f>(-AC122-SQRT(AC122^2-4*AC121*AC123))/(2*AC121)</f>
        <v>0.24651427932611367</v>
      </c>
      <c r="Z128" s="10">
        <f>$G$120*Y128/Y125</f>
        <v>0.6913936718009888</v>
      </c>
      <c r="AA128" s="10">
        <f>$G$120*Y128/Y126</f>
        <v>2.5355154214804076</v>
      </c>
      <c r="AB128" s="10">
        <f>$G$120*Y128/Y127</f>
        <v>6.371277073170704</v>
      </c>
      <c r="AC128" s="10"/>
      <c r="AD128" s="10"/>
      <c r="AE128" s="11"/>
      <c r="AF128" s="4">
        <v>5</v>
      </c>
      <c r="AG128" s="10">
        <f t="shared" si="64"/>
        <v>0.24651427932611367</v>
      </c>
      <c r="AH128" s="10">
        <f>Z128-(Z128*(Z131-AH131)/Z131)</f>
        <v>0.6913936718009888</v>
      </c>
      <c r="AI128" s="10">
        <f>AA128-(AA128*(AA131-AI131)/AA131)</f>
        <v>2.5355154214804076</v>
      </c>
      <c r="AJ128" s="10">
        <f>AB128-(AB128*(AB131-AJ131)/AB131)</f>
        <v>6.371277073170704</v>
      </c>
      <c r="AK128" s="10"/>
      <c r="AL128" s="10"/>
      <c r="AM128" s="11"/>
      <c r="AN128" s="8" t="s">
        <v>10</v>
      </c>
      <c r="AO128" s="10">
        <f>4*(AG127-AG128-AG129-AG130)</f>
        <v>1.5723552504407001</v>
      </c>
      <c r="AP128" s="10">
        <f>2*(AH127-AH128-AH129-AH130)</f>
        <v>2.204976671026048</v>
      </c>
      <c r="AQ128" s="10">
        <f>AI127-AI128-AI129-AI130</f>
        <v>4.043103503412109</v>
      </c>
      <c r="AR128" s="9">
        <f>$G$120-AJ128-AJ129-AJ130</f>
        <v>10.159564575121147</v>
      </c>
      <c r="AS128" s="10"/>
      <c r="AT128" s="10"/>
      <c r="AU128" s="10">
        <f>AR128-E128</f>
        <v>0.7495645751211466</v>
      </c>
      <c r="AV128" s="10">
        <f>AU128^2</f>
        <v>0.5618470522765451</v>
      </c>
      <c r="AW128">
        <v>5</v>
      </c>
      <c r="AX128">
        <v>6</v>
      </c>
      <c r="AY128" s="10">
        <f>F65</f>
        <v>3.97</v>
      </c>
      <c r="AZ128" s="10">
        <f>AS65</f>
        <v>2.5228806099224337</v>
      </c>
      <c r="BA128" s="10">
        <f t="shared" si="35"/>
        <v>-1.4471193900775665</v>
      </c>
      <c r="BB128" s="24">
        <f t="shared" si="36"/>
        <v>2.0941545291384682</v>
      </c>
      <c r="BC128" s="10">
        <f t="shared" si="37"/>
        <v>-0.07235596950387832</v>
      </c>
    </row>
    <row r="129" spans="1:55" ht="12.75">
      <c r="A129" s="8" t="s">
        <v>11</v>
      </c>
      <c r="B129" s="26">
        <v>0.88</v>
      </c>
      <c r="C129" s="26">
        <v>1.67</v>
      </c>
      <c r="D129" s="26">
        <v>1.78</v>
      </c>
      <c r="E129" s="26">
        <v>7.47</v>
      </c>
      <c r="F129" s="25">
        <v>4.68</v>
      </c>
      <c r="G129" s="26"/>
      <c r="H129" s="10"/>
      <c r="I129" s="10">
        <v>0.01</v>
      </c>
      <c r="J129" s="10">
        <v>0.01</v>
      </c>
      <c r="K129" s="10">
        <v>0.01</v>
      </c>
      <c r="L129" s="10">
        <v>0.02</v>
      </c>
      <c r="M129" s="9">
        <v>0.04</v>
      </c>
      <c r="N129" s="10"/>
      <c r="O129" s="11">
        <f>SUM(B129:F129)</f>
        <v>16.48</v>
      </c>
      <c r="P129" s="11">
        <f>P128+$G$120-O129</f>
        <v>28.509999999999994</v>
      </c>
      <c r="Q129" s="11">
        <f>F129</f>
        <v>4.68</v>
      </c>
      <c r="R129" s="11">
        <f>20-AC131</f>
        <v>9.110006324111403</v>
      </c>
      <c r="S129" s="11">
        <f t="shared" si="62"/>
        <v>0.45550031620557013</v>
      </c>
      <c r="T129" s="11">
        <f t="shared" si="63"/>
        <v>0.5137208288882819</v>
      </c>
      <c r="U129" s="11">
        <f>AK131</f>
        <v>10.889993675888597</v>
      </c>
      <c r="V129" s="11">
        <f>(U129-Q129)^2</f>
        <v>38.56402145457638</v>
      </c>
      <c r="W129" s="11"/>
      <c r="X129" s="4">
        <v>6</v>
      </c>
      <c r="Y129" s="10">
        <f>(-AD122-SQRT(AD122^2-4*AD121*AD123))/(2*AD121)</f>
        <v>0.08639755199294342</v>
      </c>
      <c r="Z129" s="10">
        <f>Z128*Y129/Y128</f>
        <v>0.2423174871261512</v>
      </c>
      <c r="AA129" s="10">
        <f>AA128*Y129/Y128</f>
        <v>0.8886394981057706</v>
      </c>
      <c r="AB129" s="10">
        <f>AB128*Y129/Y128</f>
        <v>2.232985219742615</v>
      </c>
      <c r="AC129" s="10">
        <f>$G$120*Y129/Y128</f>
        <v>7.0095373159822625</v>
      </c>
      <c r="AD129" s="10"/>
      <c r="AE129" s="11"/>
      <c r="AF129" s="4">
        <v>6</v>
      </c>
      <c r="AG129" s="10">
        <f t="shared" si="64"/>
        <v>0.08639755199294342</v>
      </c>
      <c r="AH129" s="10">
        <f>Z129-(Z129*(Z131-AH131)/Z131)</f>
        <v>0.2423174871261512</v>
      </c>
      <c r="AI129" s="10">
        <f>AA129-(AA129*(AA131-AI131)/AA131)</f>
        <v>0.8886394981057706</v>
      </c>
      <c r="AJ129" s="10">
        <f>AB129-(AB129*(AB131-AJ131)/AB131)</f>
        <v>2.232985219742615</v>
      </c>
      <c r="AK129" s="10">
        <f>AC129-(AC129*(AC131-AK131)/AC131)</f>
        <v>7.0095373159822625</v>
      </c>
      <c r="AL129" s="10"/>
      <c r="AM129" s="11"/>
      <c r="AN129" s="8" t="s">
        <v>11</v>
      </c>
      <c r="AO129" s="10">
        <f>8*(AG128-AG129-AG130)</f>
        <v>0.8982986574578641</v>
      </c>
      <c r="AP129" s="10">
        <f>4*(AH128-AH129-AH130)</f>
        <v>1.2597201445115223</v>
      </c>
      <c r="AQ129" s="10">
        <f>2*(AI128-AI129-AI130)</f>
        <v>2.30985615245685</v>
      </c>
      <c r="AR129" s="10">
        <f>AJ128-AJ129-AJ130</f>
        <v>2.902118721462556</v>
      </c>
      <c r="AS129" s="9">
        <f>$G$120-AK129-AK130</f>
        <v>9.110006324111403</v>
      </c>
      <c r="AT129" s="10"/>
      <c r="AU129" s="10">
        <f>AS129-F129</f>
        <v>4.430006324111403</v>
      </c>
      <c r="AV129" s="10">
        <f>AU129^2</f>
        <v>19.624956031667026</v>
      </c>
      <c r="AW129">
        <v>5</v>
      </c>
      <c r="AX129">
        <v>7</v>
      </c>
      <c r="AY129" s="10">
        <f>F66</f>
        <v>5.68</v>
      </c>
      <c r="AZ129" s="10">
        <f>AS66</f>
        <v>7.557773113521503</v>
      </c>
      <c r="BA129" s="10">
        <f t="shared" si="35"/>
        <v>1.8777731135215037</v>
      </c>
      <c r="BB129" s="24">
        <f t="shared" si="36"/>
        <v>3.5260318658642418</v>
      </c>
      <c r="BC129" s="10">
        <f t="shared" si="37"/>
        <v>0.09388865567607518</v>
      </c>
    </row>
    <row r="130" spans="1:55" ht="12.75">
      <c r="A130" s="8" t="s">
        <v>12</v>
      </c>
      <c r="B130" s="26">
        <v>0.06</v>
      </c>
      <c r="C130" s="26">
        <v>1.72</v>
      </c>
      <c r="D130" s="26">
        <v>1.28</v>
      </c>
      <c r="E130" s="26">
        <v>1.44</v>
      </c>
      <c r="F130" s="26">
        <v>5.01</v>
      </c>
      <c r="G130" s="25">
        <v>7.61</v>
      </c>
      <c r="H130" s="9"/>
      <c r="I130" s="10">
        <v>0.01</v>
      </c>
      <c r="J130" s="10">
        <v>0.02</v>
      </c>
      <c r="K130" s="10">
        <v>0.02</v>
      </c>
      <c r="L130" s="10">
        <v>0.02</v>
      </c>
      <c r="M130" s="10">
        <v>0.05</v>
      </c>
      <c r="N130" s="9">
        <v>0.23</v>
      </c>
      <c r="O130" s="11">
        <f>SUM(B130:G130)</f>
        <v>17.12</v>
      </c>
      <c r="P130" s="11">
        <f>P129+$G$120-O130</f>
        <v>31.38999999999999</v>
      </c>
      <c r="Q130" s="11">
        <f>G130</f>
        <v>7.61</v>
      </c>
      <c r="R130" s="11">
        <f>20-AD131</f>
        <v>8.928067046426568</v>
      </c>
      <c r="S130" s="11">
        <f t="shared" si="62"/>
        <v>0.4464033523213284</v>
      </c>
      <c r="T130" s="11">
        <f t="shared" si="63"/>
        <v>0.8523681509589335</v>
      </c>
      <c r="U130" s="11">
        <f>AL131</f>
        <v>11.071932953573432</v>
      </c>
      <c r="V130" s="11">
        <f>(U130-Q130)^2</f>
        <v>11.984979775037665</v>
      </c>
      <c r="W130" s="11"/>
      <c r="X130" s="4">
        <v>7</v>
      </c>
      <c r="Y130" s="10">
        <f>P125-Y125-Y126-Y127-Y128-Y129</f>
        <v>0.04782939515093722</v>
      </c>
      <c r="Z130" s="10">
        <f>Z128*Y130/Y128</f>
        <v>0.134146148546957</v>
      </c>
      <c r="AA130" s="10">
        <f>AA128*Y130/Y128</f>
        <v>0.4919478471462119</v>
      </c>
      <c r="AB130" s="10">
        <f>AB128*Y130/Y128</f>
        <v>1.2361731319655338</v>
      </c>
      <c r="AC130" s="10">
        <f>$G$120*Y130/Y128</f>
        <v>3.880456359906334</v>
      </c>
      <c r="AD130" s="10">
        <f>$G$120*Y130/Y129</f>
        <v>11.071932953573432</v>
      </c>
      <c r="AE130" s="11"/>
      <c r="AF130" s="4">
        <v>7</v>
      </c>
      <c r="AG130" s="10">
        <f t="shared" si="64"/>
        <v>0.04782939515093722</v>
      </c>
      <c r="AH130" s="10">
        <f>Z130-(Z130*(Z131-AH131)/Z131)</f>
        <v>0.134146148546957</v>
      </c>
      <c r="AI130" s="10">
        <f>AA130-(AA130*(AA131-AI131)/AA131)</f>
        <v>0.4919478471462119</v>
      </c>
      <c r="AJ130" s="10">
        <f>AB130-(AB130*(AB131-AJ131)/AB131)</f>
        <v>1.2361731319655338</v>
      </c>
      <c r="AK130" s="10">
        <f>AC130-(AC130*(AC131-AK131)/AC131)</f>
        <v>3.880456359906334</v>
      </c>
      <c r="AL130" s="10">
        <f>AD130-(AD130*(AD131-AL131)/AD131)</f>
        <v>11.071932953573432</v>
      </c>
      <c r="AM130" s="11"/>
      <c r="AN130" s="8" t="s">
        <v>12</v>
      </c>
      <c r="AO130" s="10">
        <f>16*(AG129-AG130)</f>
        <v>0.6170905094720993</v>
      </c>
      <c r="AP130" s="10">
        <f>8*(AH129-AH130)</f>
        <v>0.8653707086335536</v>
      </c>
      <c r="AQ130" s="10">
        <f>4*(AI129-AI130)</f>
        <v>1.5867666038382346</v>
      </c>
      <c r="AR130" s="10">
        <f>2*(AJ129-AJ130)</f>
        <v>1.9936241755541624</v>
      </c>
      <c r="AS130" s="10">
        <f>AK129-AK130</f>
        <v>3.1290809560759283</v>
      </c>
      <c r="AT130" s="9">
        <f>$G$120-AL130</f>
        <v>8.928067046426568</v>
      </c>
      <c r="AU130" s="10">
        <f>AT130-G130</f>
        <v>1.3180670464265676</v>
      </c>
      <c r="AV130" s="10">
        <f>AU130^2</f>
        <v>1.7373007388756554</v>
      </c>
      <c r="AW130">
        <v>5</v>
      </c>
      <c r="AX130">
        <v>6</v>
      </c>
      <c r="AY130" s="10">
        <f>G65</f>
        <v>6.56</v>
      </c>
      <c r="AZ130" s="10">
        <f>AT65</f>
        <v>8.006898837077484</v>
      </c>
      <c r="BA130" s="10">
        <f t="shared" si="35"/>
        <v>1.4468988370774847</v>
      </c>
      <c r="BB130" s="24">
        <f t="shared" si="36"/>
        <v>2.0935162447361777</v>
      </c>
      <c r="BC130" s="10">
        <f t="shared" si="37"/>
        <v>0.07234494185387423</v>
      </c>
    </row>
    <row r="131" spans="1:55" ht="12.75">
      <c r="A131" s="12" t="s">
        <v>13</v>
      </c>
      <c r="B131" s="28">
        <v>2.51</v>
      </c>
      <c r="C131" s="28">
        <v>2.6</v>
      </c>
      <c r="D131" s="28">
        <v>1.9</v>
      </c>
      <c r="E131" s="28">
        <v>1.68</v>
      </c>
      <c r="F131" s="28">
        <v>10.31</v>
      </c>
      <c r="G131" s="28">
        <v>12.39</v>
      </c>
      <c r="H131" s="13"/>
      <c r="I131" s="13"/>
      <c r="J131" s="13"/>
      <c r="K131" s="13"/>
      <c r="L131" s="13"/>
      <c r="M131" s="13"/>
      <c r="N131" s="13"/>
      <c r="O131" s="14">
        <f>SUM(B131:G131)</f>
        <v>31.39</v>
      </c>
      <c r="P131" s="14"/>
      <c r="Q131" s="14"/>
      <c r="R131" s="14"/>
      <c r="S131" s="14"/>
      <c r="T131" s="14"/>
      <c r="U131" s="14"/>
      <c r="V131" s="14"/>
      <c r="W131" s="22"/>
      <c r="X131" s="16" t="s">
        <v>18</v>
      </c>
      <c r="Y131" s="10">
        <f aca="true" t="shared" si="65" ref="Y131:AD131">SUM(Y125:Y130)</f>
        <v>10.23</v>
      </c>
      <c r="Z131" s="10">
        <f t="shared" si="65"/>
        <v>8.691876518711936</v>
      </c>
      <c r="AA131" s="10">
        <f t="shared" si="65"/>
        <v>11.87530903687689</v>
      </c>
      <c r="AB131" s="10">
        <f t="shared" si="65"/>
        <v>9.840435424878853</v>
      </c>
      <c r="AC131" s="10">
        <f t="shared" si="65"/>
        <v>10.889993675888597</v>
      </c>
      <c r="AD131" s="10">
        <f t="shared" si="65"/>
        <v>11.071932953573432</v>
      </c>
      <c r="AE131" s="22"/>
      <c r="AF131" s="16" t="s">
        <v>18</v>
      </c>
      <c r="AG131" s="10">
        <f t="shared" si="64"/>
        <v>10.23</v>
      </c>
      <c r="AH131" s="10">
        <f>Z131*(V120*(Z131/$G$120)^2-V120*(Z131/$G$120)+1)</f>
        <v>8.691876518711936</v>
      </c>
      <c r="AI131" s="10">
        <f>AA131*(V120*(AA131/$G$120)^2-V120*(AA131/$G$120)+1)</f>
        <v>11.87530903687689</v>
      </c>
      <c r="AJ131" s="10">
        <f>AB131*(V120*(AB131/$G$120)^2-V120*(AB131/$G$120)+1)</f>
        <v>9.840435424878853</v>
      </c>
      <c r="AK131" s="10">
        <f>AC131*(V120*(AC131/$G$120)^2-V120*(AC131/$G$120)+1)</f>
        <v>10.889993675888597</v>
      </c>
      <c r="AL131" s="10">
        <f>AD131*(V120*(AD131/$G$120)^2-V120*(AD131/$G$120)+1)</f>
        <v>11.071932953573432</v>
      </c>
      <c r="AM131" s="22"/>
      <c r="AN131" s="12" t="s">
        <v>13</v>
      </c>
      <c r="AO131" s="13">
        <f>32*AG130</f>
        <v>1.530540644829991</v>
      </c>
      <c r="AP131" s="13">
        <f>16*AH130</f>
        <v>2.146338376751312</v>
      </c>
      <c r="AQ131" s="13">
        <f>8*AI130</f>
        <v>3.9355827771696954</v>
      </c>
      <c r="AR131" s="13">
        <f>4*AJ130</f>
        <v>4.944692527862135</v>
      </c>
      <c r="AS131" s="13">
        <f>2*AK130</f>
        <v>7.760912719812668</v>
      </c>
      <c r="AT131" s="13">
        <f>AL130</f>
        <v>11.071932953573432</v>
      </c>
      <c r="AW131">
        <v>5</v>
      </c>
      <c r="AX131">
        <v>7</v>
      </c>
      <c r="AY131" s="10">
        <f>G66</f>
        <v>13.44</v>
      </c>
      <c r="AZ131" s="10">
        <f>AT66</f>
        <v>11.993101162922516</v>
      </c>
      <c r="BA131" s="10">
        <f aca="true" t="shared" si="66" ref="BA131:BA157">AZ131-AY131</f>
        <v>-1.4468988370774838</v>
      </c>
      <c r="BB131" s="24">
        <f aca="true" t="shared" si="67" ref="BB131:BB194">BA131^2</f>
        <v>2.093516244736175</v>
      </c>
      <c r="BC131" s="10">
        <f>BA131/20</f>
        <v>-0.07234494185387419</v>
      </c>
    </row>
    <row r="132" spans="49:55" ht="12.75">
      <c r="AW132">
        <v>6</v>
      </c>
      <c r="AX132">
        <v>2</v>
      </c>
      <c r="AY132" s="10">
        <f aca="true" t="shared" si="68" ref="AY132:AY137">B74</f>
        <v>0.94</v>
      </c>
      <c r="AZ132" s="10">
        <f aca="true" t="shared" si="69" ref="AZ132:AZ137">AO74</f>
        <v>0.797938688864118</v>
      </c>
      <c r="BA132" s="10">
        <f t="shared" si="66"/>
        <v>-0.14206131113588194</v>
      </c>
      <c r="BB132" s="24">
        <f t="shared" si="67"/>
        <v>0.020181416121645854</v>
      </c>
      <c r="BC132" s="10">
        <f>BA132/27</f>
        <v>-0.005261530042069701</v>
      </c>
    </row>
    <row r="133" spans="1:55" ht="12.75">
      <c r="A133" s="2" t="s">
        <v>54</v>
      </c>
      <c r="F133" t="s">
        <v>30</v>
      </c>
      <c r="G133">
        <v>20</v>
      </c>
      <c r="O133" s="18" t="s">
        <v>22</v>
      </c>
      <c r="P133" s="20">
        <f>AVERAGE(S139:S143)*$G$133</f>
        <v>11.543090753618808</v>
      </c>
      <c r="Q133" s="8" t="s">
        <v>24</v>
      </c>
      <c r="R133">
        <f>P133/$G$133</f>
        <v>0.5771545376809404</v>
      </c>
      <c r="T133" s="19">
        <f>(P134-1)/(R133^2-R133)</f>
        <v>0.4767705926863817</v>
      </c>
      <c r="U133" s="18" t="s">
        <v>20</v>
      </c>
      <c r="V133" s="19">
        <v>0</v>
      </c>
      <c r="W133" s="19"/>
      <c r="Y133" s="11"/>
      <c r="Z133" s="4" t="s">
        <v>32</v>
      </c>
      <c r="AA133" s="4" t="s">
        <v>33</v>
      </c>
      <c r="AB133" s="4" t="s">
        <v>34</v>
      </c>
      <c r="AC133" s="4" t="s">
        <v>35</v>
      </c>
      <c r="AD133" s="4" t="s">
        <v>36</v>
      </c>
      <c r="AW133">
        <v>6</v>
      </c>
      <c r="AX133">
        <v>3</v>
      </c>
      <c r="AY133" s="10">
        <f t="shared" si="68"/>
        <v>0.68</v>
      </c>
      <c r="AZ133" s="10">
        <f t="shared" si="69"/>
        <v>0.8451152178130242</v>
      </c>
      <c r="BA133" s="10">
        <f t="shared" si="66"/>
        <v>0.16511521781302418</v>
      </c>
      <c r="BB133" s="24">
        <f t="shared" si="67"/>
        <v>0.02726303515344242</v>
      </c>
      <c r="BC133" s="10">
        <f aca="true" t="shared" si="70" ref="BC133:BC157">BA133/27</f>
        <v>0.006115378437519414</v>
      </c>
    </row>
    <row r="134" spans="1:5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2" t="s">
        <v>23</v>
      </c>
      <c r="P134" s="3">
        <f>Q138/P133</f>
        <v>0.8836454826279744</v>
      </c>
      <c r="Q134" s="12"/>
      <c r="R134" s="3"/>
      <c r="S134" s="3"/>
      <c r="T134" s="3"/>
      <c r="U134" s="17" t="s">
        <v>21</v>
      </c>
      <c r="V134" s="13">
        <f>SUM(V139:V143)</f>
        <v>100.39533404145956</v>
      </c>
      <c r="W134" s="19"/>
      <c r="Y134" s="21" t="s">
        <v>37</v>
      </c>
      <c r="Z134">
        <f>-2</f>
        <v>-2</v>
      </c>
      <c r="AA134">
        <f>-2*$G$133-4*Y138</f>
        <v>-69.7052615460249</v>
      </c>
      <c r="AB134">
        <f>-2*$G$133*Y138-4*$G$133*Y139-8*Y138*Y139</f>
        <v>-515.109684574114</v>
      </c>
      <c r="AC134">
        <f>-2*$G$133*Y138*Y139-4*$G$133*Y138*Y140-8*$G$133*Y139*Y140-16*Y138*Y139*Y140</f>
        <v>-1043.0459949685046</v>
      </c>
      <c r="AD134">
        <f>-2*$G$133*Y138*Y139*Y140-4*$G$133*Y138*Y139*Y141-8*$G$133*Y138*Y140*Y141-16*$G$133*Y139*Y140*Y141-32*Y138*Y139*Y140*Y141</f>
        <v>-645.0421156774436</v>
      </c>
      <c r="AE134" s="19"/>
      <c r="AM134" s="19"/>
      <c r="AN134" s="3"/>
      <c r="AO134" s="3"/>
      <c r="AP134" s="3"/>
      <c r="AQ134" s="3"/>
      <c r="AR134" s="3"/>
      <c r="AS134" s="3"/>
      <c r="AT134" s="3"/>
      <c r="AW134">
        <v>6</v>
      </c>
      <c r="AX134">
        <v>4</v>
      </c>
      <c r="AY134" s="10">
        <f t="shared" si="68"/>
        <v>2.42</v>
      </c>
      <c r="AZ134" s="10">
        <f t="shared" si="69"/>
        <v>1.9100934128799911</v>
      </c>
      <c r="BA134" s="10">
        <f t="shared" si="66"/>
        <v>-0.5099065871200088</v>
      </c>
      <c r="BB134" s="24">
        <f t="shared" si="67"/>
        <v>0.2600047275883751</v>
      </c>
      <c r="BC134" s="10">
        <f t="shared" si="70"/>
        <v>-0.01888542915259292</v>
      </c>
    </row>
    <row r="135" spans="25:55" ht="12.75">
      <c r="Y135" s="21" t="s">
        <v>38</v>
      </c>
      <c r="Z135">
        <f>2*P138-$G$133-P139</f>
        <v>-11.54</v>
      </c>
      <c r="AA135">
        <f>2*P138*$G$133+4*P138*Y138-P140*Y138-2*$G$133*Y138-$G$133*Y138-4*Y138^2</f>
        <v>-116.37036210655236</v>
      </c>
      <c r="AB135">
        <f>2*P138*$G$133*Y138-2*$G$133*Y138^2+4*P138*$G$133*Y139+8*P138*Y138*Y139-P141*Y138*Y139-4*$G$133*Y138*Y139-2*$G$133*Y138*Y139-$G$133*Y138*Y139-8*Y138^2*Y139-4*$G$133*Y139^2-8*Y138*Y139^2</f>
        <v>-45.76613367790378</v>
      </c>
      <c r="AC135">
        <f>2*P138*$G$133*Y138*Y139-2*$G$133*Y138^2*Y139-2*$G$133*Y138*Y139^2+4*P138*$G$133*Y138*Y140-4*$G$133*Y138^2*Y140+8*P138*$G$133*Y139*Y140+16*P138*Y138*Y139*Y140-P142*Y138*Y139*Y140-8*$G$133*Y138*Y139*Y140-4*$G$133*Y138*Y139*Y140-2*$G$133*Y138*Y139*Y140-$G$133*Y138*Y139*Y140-16*Y138^2*Y139*Y140-8*$G$133*Y139^2*Y140-16*Y138*Y139^2*Y140-4*$G$133*Y138*Y140^2-8*$G$133*Y139*Y140^2-16*Y138*Y139*Y140^2</f>
        <v>16.369360301324406</v>
      </c>
      <c r="AD135">
        <f>2*P138*$G$133*Y138*Y139*Y140-2*$G$133*Y138^2*Y139*Y140-2*$G$133*Y138*Y139^2*Y140-2*$G$133*Y138*Y139*Y140^2+4*P138*$G$133*Y138*Y139*Y141-4*$G$133*Y138^2*Y139*Y141-4*$G$133*Y138*Y139^2*Y141+8*P138*$G$133*Y138*Y140*Y141-8*$G$133*Y138^2*Y140*Y141+16*P138*$G$133*Y139*Y140*Y141+32*P138*Y138*Y139*Y140*Y141-P143*Y138*Y139*Y140*Y141-16*$G$133*Y138*Y139*Y140*Y141-8*$G$133*Y138*Y139*Y140*Y141-4*$G$133*Y138*Y139*Y140*Y141-2*$G$133*Y138*Y139*Y140*Y141-$G$133*Y138*Y139*Y140*Y141-32*Y138^2*Y139*Y140*Y141-16*$G$133*Y139^2*Y140*Y141-32*Y138*Y139^2*Y140*Y141-8*$G$133*Y138*Y140^2*Y141-16*$G$133*Y139*Y140^2*Y141-32*Y138*Y139*Y140^2*Y141-4*$G$133*Y138*Y139*Y141^2-8*$G$133*Y138*Y140*Y141^2-16*$G$133*Y139*Y140*Y141^2-32*Y138*Y139*Y140*Y141^2</f>
        <v>-8.022893291236429</v>
      </c>
      <c r="AW135">
        <v>6</v>
      </c>
      <c r="AX135">
        <v>5</v>
      </c>
      <c r="AY135" s="10">
        <f t="shared" si="68"/>
        <v>4.92</v>
      </c>
      <c r="AZ135" s="10">
        <f t="shared" si="69"/>
        <v>4.150360071933715</v>
      </c>
      <c r="BA135" s="10">
        <f t="shared" si="66"/>
        <v>-0.7696399280662849</v>
      </c>
      <c r="BB135" s="24">
        <f t="shared" si="67"/>
        <v>0.5923456188738762</v>
      </c>
      <c r="BC135" s="10">
        <f t="shared" si="70"/>
        <v>-0.028505182520973515</v>
      </c>
    </row>
    <row r="136" spans="1:55" ht="15.75">
      <c r="A136" s="4" t="s">
        <v>1</v>
      </c>
      <c r="B136" s="5" t="s">
        <v>2</v>
      </c>
      <c r="C136" s="5"/>
      <c r="D136" s="5"/>
      <c r="E136" s="5"/>
      <c r="F136" s="5"/>
      <c r="G136" s="5"/>
      <c r="H136" s="6"/>
      <c r="I136" s="5" t="s">
        <v>3</v>
      </c>
      <c r="J136" s="5"/>
      <c r="K136" s="5"/>
      <c r="L136" s="5"/>
      <c r="M136" s="5"/>
      <c r="N136" s="5"/>
      <c r="O136" s="4" t="s">
        <v>4</v>
      </c>
      <c r="P136" s="4" t="s">
        <v>14</v>
      </c>
      <c r="Q136" s="4" t="s">
        <v>5</v>
      </c>
      <c r="R136" s="4" t="s">
        <v>40</v>
      </c>
      <c r="S136" s="4" t="s">
        <v>42</v>
      </c>
      <c r="T136" s="4" t="s">
        <v>16</v>
      </c>
      <c r="U136" s="4" t="s">
        <v>15</v>
      </c>
      <c r="V136" s="4"/>
      <c r="W136" s="4"/>
      <c r="Y136" s="21" t="s">
        <v>39</v>
      </c>
      <c r="Z136">
        <f>$G$133*P138</f>
        <v>196</v>
      </c>
      <c r="AA136">
        <f>P138*$G$133*Y138-$G$133*Y138^2</f>
        <v>352.5546113580383</v>
      </c>
      <c r="AB136">
        <f>P138*$G$133*Y138*Y139-$G$133*Y138^2*Y139-$G$133*Y138*Y139^2</f>
        <v>188.07052419659834</v>
      </c>
      <c r="AC136">
        <f>P138*$G$133*Y138*Y139*Y140-$G$133*Y138^2*Y139*Y140-$G$133*Y138*Y139^2*Y140-$G$133*Y138*Y139*Y140^2</f>
        <v>32.360421685262025</v>
      </c>
      <c r="AD136">
        <f>P138*$G$133*Y138*Y139*Y140*Y141-$G$133*Y138^2*Y139*Y140*Y141-$G$133*Y138*Y139^2*Y140*Y141-$G$133*Y138*Y139*Y140^2*Y141-$G$133*Y138*Y139*Y140*Y141^2</f>
        <v>1.535858911924076</v>
      </c>
      <c r="AE136" s="4"/>
      <c r="AM136" s="4"/>
      <c r="AN136" s="4" t="s">
        <v>1</v>
      </c>
      <c r="AO136" s="5" t="s">
        <v>31</v>
      </c>
      <c r="AP136" s="5"/>
      <c r="AQ136" s="5"/>
      <c r="AR136" s="5"/>
      <c r="AS136" s="5"/>
      <c r="AT136" s="5"/>
      <c r="AW136">
        <v>6</v>
      </c>
      <c r="AX136">
        <v>6</v>
      </c>
      <c r="AY136" s="10">
        <f t="shared" si="68"/>
        <v>0.28</v>
      </c>
      <c r="AZ136" s="10">
        <f t="shared" si="69"/>
        <v>3.073383829899898</v>
      </c>
      <c r="BA136" s="10">
        <f t="shared" si="66"/>
        <v>2.7933838298998976</v>
      </c>
      <c r="BB136" s="24">
        <f t="shared" si="67"/>
        <v>7.80299322114622</v>
      </c>
      <c r="BC136" s="10">
        <f t="shared" si="70"/>
        <v>0.10345866036666287</v>
      </c>
    </row>
    <row r="137" spans="1:55" ht="12.75">
      <c r="A137" s="7" t="s">
        <v>6</v>
      </c>
      <c r="B137" s="7" t="s">
        <v>7</v>
      </c>
      <c r="C137" s="7" t="s">
        <v>8</v>
      </c>
      <c r="D137" s="7" t="s">
        <v>9</v>
      </c>
      <c r="E137" s="7" t="s">
        <v>10</v>
      </c>
      <c r="F137" s="7" t="s">
        <v>11</v>
      </c>
      <c r="G137" s="7" t="s">
        <v>12</v>
      </c>
      <c r="H137" s="7"/>
      <c r="I137" s="7" t="s">
        <v>7</v>
      </c>
      <c r="J137" s="7" t="s">
        <v>8</v>
      </c>
      <c r="K137" s="7" t="s">
        <v>9</v>
      </c>
      <c r="L137" s="7" t="s">
        <v>10</v>
      </c>
      <c r="M137" s="7" t="s">
        <v>11</v>
      </c>
      <c r="N137" s="7" t="s">
        <v>12</v>
      </c>
      <c r="O137" s="7"/>
      <c r="P137" s="7"/>
      <c r="Q137" s="7" t="s">
        <v>41</v>
      </c>
      <c r="R137" s="7" t="s">
        <v>41</v>
      </c>
      <c r="S137" s="7" t="s">
        <v>41</v>
      </c>
      <c r="T137" s="7"/>
      <c r="U137" s="7" t="s">
        <v>41</v>
      </c>
      <c r="V137" s="7" t="s">
        <v>19</v>
      </c>
      <c r="W137" s="15"/>
      <c r="X137" s="4" t="s">
        <v>17</v>
      </c>
      <c r="Y137" s="4">
        <v>1</v>
      </c>
      <c r="Z137" s="15">
        <v>2</v>
      </c>
      <c r="AA137" s="15">
        <v>3</v>
      </c>
      <c r="AB137" s="15">
        <v>4</v>
      </c>
      <c r="AC137" s="15">
        <v>5</v>
      </c>
      <c r="AD137" s="15">
        <v>6</v>
      </c>
      <c r="AE137" s="15"/>
      <c r="AF137" s="4" t="s">
        <v>17</v>
      </c>
      <c r="AG137" s="4">
        <v>1</v>
      </c>
      <c r="AH137" s="15">
        <v>2</v>
      </c>
      <c r="AI137" s="15">
        <v>3</v>
      </c>
      <c r="AJ137" s="15">
        <v>4</v>
      </c>
      <c r="AK137" s="15">
        <v>5</v>
      </c>
      <c r="AL137" s="15">
        <v>6</v>
      </c>
      <c r="AM137" s="15"/>
      <c r="AN137" s="7" t="s">
        <v>6</v>
      </c>
      <c r="AO137" s="7" t="s">
        <v>7</v>
      </c>
      <c r="AP137" s="7" t="s">
        <v>8</v>
      </c>
      <c r="AQ137" s="7" t="s">
        <v>9</v>
      </c>
      <c r="AR137" s="7" t="s">
        <v>10</v>
      </c>
      <c r="AS137" s="7" t="s">
        <v>11</v>
      </c>
      <c r="AT137" s="7" t="s">
        <v>12</v>
      </c>
      <c r="AW137">
        <v>6</v>
      </c>
      <c r="AX137">
        <v>7</v>
      </c>
      <c r="AY137" s="10">
        <f t="shared" si="68"/>
        <v>10.01</v>
      </c>
      <c r="AZ137" s="10">
        <f t="shared" si="69"/>
        <v>8.473108778609253</v>
      </c>
      <c r="BA137" s="10">
        <f t="shared" si="66"/>
        <v>-1.5368912213907464</v>
      </c>
      <c r="BB137" s="24">
        <f t="shared" si="67"/>
        <v>2.36203462638794</v>
      </c>
      <c r="BC137" s="10">
        <f t="shared" si="70"/>
        <v>-0.05692189708854616</v>
      </c>
    </row>
    <row r="138" spans="1:55" ht="12.75">
      <c r="A138" s="8" t="s">
        <v>7</v>
      </c>
      <c r="B138" s="25">
        <v>10.2</v>
      </c>
      <c r="C138" s="26"/>
      <c r="D138" s="26"/>
      <c r="E138" s="26"/>
      <c r="F138" s="26"/>
      <c r="G138" s="26"/>
      <c r="H138" s="10"/>
      <c r="I138" s="9">
        <v>0</v>
      </c>
      <c r="J138" s="10"/>
      <c r="K138" s="10"/>
      <c r="L138" s="10"/>
      <c r="M138" s="10"/>
      <c r="N138" s="10"/>
      <c r="O138" s="11">
        <f>B138</f>
        <v>10.2</v>
      </c>
      <c r="P138" s="11">
        <f>$G$133-O138</f>
        <v>9.8</v>
      </c>
      <c r="Q138" s="11">
        <f>$B138</f>
        <v>10.2</v>
      </c>
      <c r="R138" s="11">
        <f>20-Y144</f>
        <v>10.2</v>
      </c>
      <c r="S138" s="11">
        <f aca="true" t="shared" si="71" ref="S138:S143">R138/$G$133</f>
        <v>0.51</v>
      </c>
      <c r="T138" s="11">
        <f aca="true" t="shared" si="72" ref="T138:T143">Q138/R138</f>
        <v>1</v>
      </c>
      <c r="U138" s="11">
        <f>AG144</f>
        <v>9.8</v>
      </c>
      <c r="V138" s="11"/>
      <c r="W138" s="11"/>
      <c r="X138" s="4">
        <v>2</v>
      </c>
      <c r="Y138" s="10">
        <f>(-Z135-SQRT(Z135^2-4*Z134*Z136))/(2*Z134)</f>
        <v>7.426315386506223</v>
      </c>
      <c r="Z138" s="10"/>
      <c r="AA138" s="10"/>
      <c r="AB138" s="10"/>
      <c r="AC138" s="10"/>
      <c r="AD138" s="10"/>
      <c r="AE138" s="11"/>
      <c r="AF138" s="4">
        <v>2</v>
      </c>
      <c r="AG138" s="10">
        <f aca="true" t="shared" si="73" ref="AG138:AG144">Y138</f>
        <v>7.426315386506223</v>
      </c>
      <c r="AH138" s="10"/>
      <c r="AI138" s="10"/>
      <c r="AJ138" s="10"/>
      <c r="AK138" s="10"/>
      <c r="AL138" s="10"/>
      <c r="AM138" s="11"/>
      <c r="AN138" s="8" t="s">
        <v>7</v>
      </c>
      <c r="AO138" s="9">
        <f>$G$133-AG138-AG139-AG140-AG141-AG142-AG143</f>
        <v>10.2</v>
      </c>
      <c r="AP138" s="10"/>
      <c r="AQ138" s="10"/>
      <c r="AR138" s="10"/>
      <c r="AS138" s="10"/>
      <c r="AT138" s="10"/>
      <c r="AW138">
        <v>6</v>
      </c>
      <c r="AX138">
        <v>2</v>
      </c>
      <c r="AY138" s="10">
        <f aca="true" t="shared" si="74" ref="AY138:AY143">C74</f>
        <v>1.45</v>
      </c>
      <c r="AZ138" s="10">
        <f aca="true" t="shared" si="75" ref="AZ138:AZ143">AP74</f>
        <v>1.5920613111358783</v>
      </c>
      <c r="BA138" s="10">
        <f t="shared" si="66"/>
        <v>0.1420613111358784</v>
      </c>
      <c r="BB138" s="24">
        <f t="shared" si="67"/>
        <v>0.020181416121644844</v>
      </c>
      <c r="BC138" s="10">
        <f t="shared" si="70"/>
        <v>0.0052615300420695696</v>
      </c>
    </row>
    <row r="139" spans="1:55" ht="12.75">
      <c r="A139" s="8" t="s">
        <v>8</v>
      </c>
      <c r="B139" s="26">
        <v>4.51</v>
      </c>
      <c r="C139" s="25">
        <v>14.15</v>
      </c>
      <c r="D139" s="26"/>
      <c r="E139" s="26"/>
      <c r="F139" s="26"/>
      <c r="G139" s="26"/>
      <c r="H139" s="10"/>
      <c r="I139" s="10">
        <v>0</v>
      </c>
      <c r="J139" s="9">
        <v>0</v>
      </c>
      <c r="K139" s="10"/>
      <c r="L139" s="10"/>
      <c r="M139" s="10"/>
      <c r="N139" s="10"/>
      <c r="O139" s="11">
        <f>SUM(B139:C139)</f>
        <v>18.66</v>
      </c>
      <c r="P139" s="11">
        <f>P138+$G$133-O139</f>
        <v>11.14</v>
      </c>
      <c r="Q139" s="11">
        <f>C139</f>
        <v>14.15</v>
      </c>
      <c r="R139" s="11">
        <f>20-Z144</f>
        <v>13.607369226987547</v>
      </c>
      <c r="S139" s="11">
        <f t="shared" si="71"/>
        <v>0.6803684613493773</v>
      </c>
      <c r="T139" s="11">
        <f t="shared" si="72"/>
        <v>1.039877713609494</v>
      </c>
      <c r="U139" s="11">
        <f>AH144</f>
        <v>6.392630773012454</v>
      </c>
      <c r="V139" s="11">
        <f>(U139-Q139)^2</f>
        <v>60.17677732381337</v>
      </c>
      <c r="W139" s="11"/>
      <c r="X139" s="4">
        <v>3</v>
      </c>
      <c r="Y139" s="10">
        <f>(-AA135-SQRT(AA135^2-4*AA134*AA136))/(2*AA134)</f>
        <v>1.5641363670222126</v>
      </c>
      <c r="Z139" s="10">
        <f>$G$133*Y139/Y138</f>
        <v>4.212415674842688</v>
      </c>
      <c r="AA139" s="10"/>
      <c r="AB139" s="10"/>
      <c r="AC139" s="10"/>
      <c r="AD139" s="10"/>
      <c r="AE139" s="11"/>
      <c r="AF139" s="4">
        <v>3</v>
      </c>
      <c r="AG139" s="10">
        <f t="shared" si="73"/>
        <v>1.5641363670222126</v>
      </c>
      <c r="AH139" s="10">
        <f>Z139-(Z139*(Z144-AH144)/Z144)</f>
        <v>4.212415674842688</v>
      </c>
      <c r="AI139" s="10"/>
      <c r="AJ139" s="10"/>
      <c r="AK139" s="10"/>
      <c r="AL139" s="10"/>
      <c r="AM139" s="11"/>
      <c r="AN139" s="8" t="s">
        <v>8</v>
      </c>
      <c r="AO139" s="10">
        <f>AG138-AG139-AG140-AG141-AG142-AG143</f>
        <v>5.052630773012446</v>
      </c>
      <c r="AP139" s="9">
        <f>$G$133-AH139-AH140-AH141-AH142-AH143</f>
        <v>13.607369226987547</v>
      </c>
      <c r="AQ139" s="10"/>
      <c r="AR139" s="10"/>
      <c r="AS139" s="10"/>
      <c r="AT139" s="10"/>
      <c r="AU139" s="10">
        <f>AP139-C139</f>
        <v>-0.5426307730124531</v>
      </c>
      <c r="AV139" s="10">
        <f>AU139^2</f>
        <v>0.2944481558200924</v>
      </c>
      <c r="AW139">
        <v>6</v>
      </c>
      <c r="AX139">
        <v>3</v>
      </c>
      <c r="AY139" s="10">
        <f t="shared" si="74"/>
        <v>0.31</v>
      </c>
      <c r="AZ139" s="10">
        <f t="shared" si="75"/>
        <v>0.8430943758646408</v>
      </c>
      <c r="BA139" s="10">
        <f t="shared" si="66"/>
        <v>0.5330943758646407</v>
      </c>
      <c r="BB139" s="24">
        <f t="shared" si="67"/>
        <v>0.2841896135785108</v>
      </c>
      <c r="BC139" s="10">
        <f t="shared" si="70"/>
        <v>0.01974423614313484</v>
      </c>
    </row>
    <row r="140" spans="1:55" ht="12.75">
      <c r="A140" s="8" t="s">
        <v>9</v>
      </c>
      <c r="B140" s="26">
        <v>1.08</v>
      </c>
      <c r="C140" s="26">
        <v>2.04</v>
      </c>
      <c r="D140" s="25">
        <v>10.07</v>
      </c>
      <c r="E140" s="26"/>
      <c r="F140" s="26"/>
      <c r="G140" s="26"/>
      <c r="H140" s="10"/>
      <c r="I140" s="10">
        <v>0</v>
      </c>
      <c r="J140" s="10">
        <v>0</v>
      </c>
      <c r="K140" s="9">
        <v>0</v>
      </c>
      <c r="L140" s="10"/>
      <c r="M140" s="10"/>
      <c r="N140" s="10"/>
      <c r="O140" s="11">
        <f>SUM(B140:D140)</f>
        <v>13.190000000000001</v>
      </c>
      <c r="P140" s="11">
        <f>P139+$G$133-O140</f>
        <v>17.95</v>
      </c>
      <c r="Q140" s="11">
        <f>D140</f>
        <v>10.07</v>
      </c>
      <c r="R140" s="11">
        <f>20-AA144</f>
        <v>9.648623182225794</v>
      </c>
      <c r="S140" s="11">
        <f t="shared" si="71"/>
        <v>0.4824311591112897</v>
      </c>
      <c r="T140" s="11">
        <f t="shared" si="72"/>
        <v>1.0436722224317398</v>
      </c>
      <c r="U140" s="11">
        <f>AI144</f>
        <v>10.351376817774206</v>
      </c>
      <c r="V140" s="11">
        <f>(U140-Q140)^2</f>
        <v>0.07917291358073847</v>
      </c>
      <c r="W140" s="11"/>
      <c r="X140" s="4">
        <v>4</v>
      </c>
      <c r="Y140" s="10">
        <f>(-AB135-SQRT(AB135^2-4*AB134*AB136))/(2*AB134)</f>
        <v>0.5614485744781624</v>
      </c>
      <c r="Z140" s="10">
        <f>Z139*Y140/Y139</f>
        <v>1.5120515228812574</v>
      </c>
      <c r="AA140" s="10">
        <f>$G$133*Y140/Y139</f>
        <v>7.179023342408983</v>
      </c>
      <c r="AB140" s="10"/>
      <c r="AC140" s="10"/>
      <c r="AD140" s="10"/>
      <c r="AE140" s="11"/>
      <c r="AF140" s="4">
        <v>4</v>
      </c>
      <c r="AG140" s="10">
        <f t="shared" si="73"/>
        <v>0.5614485744781624</v>
      </c>
      <c r="AH140" s="10">
        <f>Z140-(Z140*(Z144-AH144)/Z144)</f>
        <v>1.5120515228812574</v>
      </c>
      <c r="AI140" s="10">
        <f>AA140-(AA140*(AA144-AI144)/AA144)</f>
        <v>7.179023342408983</v>
      </c>
      <c r="AJ140" s="10"/>
      <c r="AK140" s="10"/>
      <c r="AL140" s="10"/>
      <c r="AM140" s="11"/>
      <c r="AN140" s="8" t="s">
        <v>9</v>
      </c>
      <c r="AO140" s="10">
        <f>2*(AG139-AG140-AG141-AG142-AG143)</f>
        <v>1.5091762411012954</v>
      </c>
      <c r="AP140" s="10">
        <f>AH139-AH140-AH141-AH142-AH143</f>
        <v>2.032200576672924</v>
      </c>
      <c r="AQ140" s="9">
        <f>$G$133-AI140-AI141-AI142-AI143</f>
        <v>9.648623182225794</v>
      </c>
      <c r="AR140" s="10"/>
      <c r="AS140" s="10"/>
      <c r="AT140" s="10"/>
      <c r="AU140" s="10">
        <f>AQ140-D140</f>
        <v>-0.4213768177742061</v>
      </c>
      <c r="AV140" s="10">
        <f>AU140^2</f>
        <v>0.1775584225575165</v>
      </c>
      <c r="AW140">
        <v>6</v>
      </c>
      <c r="AX140">
        <v>4</v>
      </c>
      <c r="AY140" s="10">
        <f t="shared" si="74"/>
        <v>1.29</v>
      </c>
      <c r="AZ140" s="10">
        <f t="shared" si="75"/>
        <v>1.9055259919973495</v>
      </c>
      <c r="BA140" s="10">
        <f t="shared" si="66"/>
        <v>0.6155259919973495</v>
      </c>
      <c r="BB140" s="24">
        <f t="shared" si="67"/>
        <v>0.37887224682432113</v>
      </c>
      <c r="BC140" s="10">
        <f t="shared" si="70"/>
        <v>0.022797258962864796</v>
      </c>
    </row>
    <row r="141" spans="1:55" ht="12.75">
      <c r="A141" s="8" t="s">
        <v>10</v>
      </c>
      <c r="B141" s="26">
        <v>1.34</v>
      </c>
      <c r="C141" s="26">
        <v>1.12</v>
      </c>
      <c r="D141" s="26">
        <v>4.97</v>
      </c>
      <c r="E141" s="25">
        <v>10.68</v>
      </c>
      <c r="F141" s="26"/>
      <c r="G141" s="26"/>
      <c r="H141" s="10"/>
      <c r="I141" s="10">
        <v>0</v>
      </c>
      <c r="J141" s="10">
        <v>0</v>
      </c>
      <c r="K141" s="10">
        <v>0</v>
      </c>
      <c r="L141" s="9">
        <v>0</v>
      </c>
      <c r="M141" s="10"/>
      <c r="N141" s="10"/>
      <c r="O141" s="11">
        <f>SUM(B141:E141)</f>
        <v>18.11</v>
      </c>
      <c r="P141" s="11">
        <f>P140+$G$133-O141</f>
        <v>19.840000000000003</v>
      </c>
      <c r="Q141" s="11">
        <f>E141</f>
        <v>10.68</v>
      </c>
      <c r="R141" s="11">
        <f>20-AB144</f>
        <v>11.162158627831646</v>
      </c>
      <c r="S141" s="11">
        <f t="shared" si="71"/>
        <v>0.5581079313915823</v>
      </c>
      <c r="T141" s="11">
        <f t="shared" si="72"/>
        <v>0.9568041770496403</v>
      </c>
      <c r="U141" s="11">
        <f>AJ144</f>
        <v>8.837841372168354</v>
      </c>
      <c r="V141" s="11">
        <f>(U141-Q141)^2</f>
        <v>3.393548410094572</v>
      </c>
      <c r="W141" s="11"/>
      <c r="X141" s="4">
        <v>5</v>
      </c>
      <c r="Y141" s="10">
        <f>(-AC135-SQRT(AC135^2-4*AC134*AC136))/(2*AC134)</f>
        <v>0.18416053458234355</v>
      </c>
      <c r="Z141" s="10">
        <f>$G$133*Y141/Y138</f>
        <v>0.49596744818289634</v>
      </c>
      <c r="AA141" s="10">
        <f>$G$133*Y141/Y139</f>
        <v>2.354788731534279</v>
      </c>
      <c r="AB141" s="10">
        <f>$G$133*Y141/Y140</f>
        <v>6.560192436271169</v>
      </c>
      <c r="AC141" s="10"/>
      <c r="AD141" s="10"/>
      <c r="AE141" s="11"/>
      <c r="AF141" s="4">
        <v>5</v>
      </c>
      <c r="AG141" s="10">
        <f t="shared" si="73"/>
        <v>0.18416053458234355</v>
      </c>
      <c r="AH141" s="10">
        <f>Z141-(Z141*(Z144-AH144)/Z144)</f>
        <v>0.49596744818289634</v>
      </c>
      <c r="AI141" s="10">
        <f>AA141-(AA141*(AA144-AI144)/AA144)</f>
        <v>2.354788731534279</v>
      </c>
      <c r="AJ141" s="10">
        <f>AB141-(AB141*(AB144-AJ144)/AB144)</f>
        <v>6.560192436271169</v>
      </c>
      <c r="AK141" s="10"/>
      <c r="AL141" s="10"/>
      <c r="AM141" s="11"/>
      <c r="AN141" s="8" t="s">
        <v>10</v>
      </c>
      <c r="AO141" s="10">
        <f>4*(AG140-AG141-AG142-AG143)</f>
        <v>1.25339560993904</v>
      </c>
      <c r="AP141" s="10">
        <f>2*(AH140-AH141-AH142-AH143)</f>
        <v>1.6877758951855009</v>
      </c>
      <c r="AQ141" s="10">
        <f>AI140-AI141-AI142-AI143</f>
        <v>4.006669867043761</v>
      </c>
      <c r="AR141" s="9">
        <f>$G$133-AJ141-AJ142-AJ143</f>
        <v>11.162158627831646</v>
      </c>
      <c r="AS141" s="10"/>
      <c r="AT141" s="10"/>
      <c r="AU141" s="10">
        <f>AR141-E141</f>
        <v>0.4821586278316463</v>
      </c>
      <c r="AV141" s="10">
        <f>AU141^2</f>
        <v>0.23247694239249603</v>
      </c>
      <c r="AW141">
        <v>6</v>
      </c>
      <c r="AX141">
        <v>5</v>
      </c>
      <c r="AY141" s="10">
        <f t="shared" si="74"/>
        <v>3.57</v>
      </c>
      <c r="AZ141" s="10">
        <f t="shared" si="75"/>
        <v>4.140435718949086</v>
      </c>
      <c r="BA141" s="10">
        <f t="shared" si="66"/>
        <v>0.5704357189490863</v>
      </c>
      <c r="BB141" s="24">
        <f t="shared" si="67"/>
        <v>0.32539690945296096</v>
      </c>
      <c r="BC141" s="10">
        <f t="shared" si="70"/>
        <v>0.021127248849966158</v>
      </c>
    </row>
    <row r="142" spans="1:55" ht="12.75">
      <c r="A142" s="8" t="s">
        <v>11</v>
      </c>
      <c r="B142" s="26">
        <v>1.19</v>
      </c>
      <c r="C142" s="26">
        <v>0.92</v>
      </c>
      <c r="D142" s="26">
        <v>1.46</v>
      </c>
      <c r="E142" s="26">
        <v>6.28</v>
      </c>
      <c r="F142" s="25">
        <v>12.82</v>
      </c>
      <c r="G142" s="26"/>
      <c r="H142" s="10"/>
      <c r="I142" s="10">
        <v>0.01</v>
      </c>
      <c r="J142" s="10">
        <v>0.01</v>
      </c>
      <c r="K142" s="10">
        <v>0.01</v>
      </c>
      <c r="L142" s="10">
        <v>0.02</v>
      </c>
      <c r="M142" s="9">
        <v>0.04</v>
      </c>
      <c r="N142" s="10"/>
      <c r="O142" s="11">
        <f>SUM(B142:F142)</f>
        <v>22.67</v>
      </c>
      <c r="P142" s="11">
        <f>P141+$G$133-O142</f>
        <v>17.17</v>
      </c>
      <c r="Q142" s="11">
        <f>F142</f>
        <v>12.82</v>
      </c>
      <c r="R142" s="11">
        <f>20-AC144</f>
        <v>13.05615206253978</v>
      </c>
      <c r="S142" s="11">
        <f t="shared" si="71"/>
        <v>0.652807603126989</v>
      </c>
      <c r="T142" s="11">
        <f t="shared" si="72"/>
        <v>0.9819125833240455</v>
      </c>
      <c r="U142" s="11">
        <f>AK144</f>
        <v>6.94384793746022</v>
      </c>
      <c r="V142" s="11">
        <f>(U142-Q142)^2</f>
        <v>34.52916306209051</v>
      </c>
      <c r="W142" s="11"/>
      <c r="X142" s="4">
        <v>6</v>
      </c>
      <c r="Y142" s="10">
        <f>(-AD135-SQRT(AD135^2-4*AD134*AD136))/(2*AD134)</f>
        <v>0.042971511901435444</v>
      </c>
      <c r="Z142" s="10">
        <f>Z141*Y142/Y141</f>
        <v>0.11572767830333633</v>
      </c>
      <c r="AA142" s="10">
        <f>AA141*Y142/Y141</f>
        <v>0.5494599167621708</v>
      </c>
      <c r="AB142" s="10">
        <f>AB141*Y142/Y141</f>
        <v>1.5307372341759087</v>
      </c>
      <c r="AC142" s="10">
        <f>$G$133*Y142/Y141</f>
        <v>4.666744913495202</v>
      </c>
      <c r="AD142" s="10"/>
      <c r="AE142" s="11"/>
      <c r="AF142" s="4">
        <v>6</v>
      </c>
      <c r="AG142" s="10">
        <f t="shared" si="73"/>
        <v>0.042971511901435444</v>
      </c>
      <c r="AH142" s="10">
        <f>Z142-(Z142*(Z144-AH144)/Z144)</f>
        <v>0.11572767830333633</v>
      </c>
      <c r="AI142" s="10">
        <f>AA142-(AA142*(AA144-AI144)/AA144)</f>
        <v>0.5494599167621708</v>
      </c>
      <c r="AJ142" s="10">
        <f>AB142-(AB142*(AB144-AJ144)/AB144)</f>
        <v>1.5307372341759087</v>
      </c>
      <c r="AK142" s="10">
        <f>AC142-(AC142*(AC144-AK144)/AC144)</f>
        <v>4.666744913495202</v>
      </c>
      <c r="AL142" s="10"/>
      <c r="AM142" s="11"/>
      <c r="AN142" s="8" t="s">
        <v>11</v>
      </c>
      <c r="AO142" s="10">
        <f>8*(AG141-AG142-AG143)</f>
        <v>0.9617711773702773</v>
      </c>
      <c r="AP142" s="10">
        <f>4*(AH141-AH142-AH143)</f>
        <v>1.2950852843091425</v>
      </c>
      <c r="AQ142" s="10">
        <f>2*(AI141-AI142-AI143)</f>
        <v>3.0744479754066707</v>
      </c>
      <c r="AR142" s="10">
        <f>AJ141-AJ142-AJ143</f>
        <v>4.282543500373984</v>
      </c>
      <c r="AS142" s="9">
        <f>$G$133-AK142-AK143</f>
        <v>13.05615206253978</v>
      </c>
      <c r="AT142" s="10"/>
      <c r="AU142" s="10">
        <f>AS142-F142</f>
        <v>0.23615206253978016</v>
      </c>
      <c r="AV142" s="10">
        <f>AU142^2</f>
        <v>0.05576779664179224</v>
      </c>
      <c r="AW142">
        <v>6</v>
      </c>
      <c r="AX142">
        <v>6</v>
      </c>
      <c r="AY142" s="10">
        <f t="shared" si="74"/>
        <v>3.95</v>
      </c>
      <c r="AZ142" s="10">
        <f t="shared" si="75"/>
        <v>3.0660347456140693</v>
      </c>
      <c r="BA142" s="10">
        <f t="shared" si="66"/>
        <v>-0.8839652543859309</v>
      </c>
      <c r="BB142" s="24">
        <f t="shared" si="67"/>
        <v>0.7813945709615835</v>
      </c>
      <c r="BC142" s="10">
        <f t="shared" si="70"/>
        <v>-0.03273945386614559</v>
      </c>
    </row>
    <row r="143" spans="1:55" ht="12.75">
      <c r="A143" s="8" t="s">
        <v>12</v>
      </c>
      <c r="B143" s="26">
        <v>0.27</v>
      </c>
      <c r="C143" s="26">
        <v>0.89</v>
      </c>
      <c r="D143" s="26">
        <v>1.28</v>
      </c>
      <c r="E143" s="26">
        <v>1.31</v>
      </c>
      <c r="F143" s="26">
        <v>4.13</v>
      </c>
      <c r="G143" s="25">
        <v>8.27</v>
      </c>
      <c r="H143" s="9"/>
      <c r="I143" s="10">
        <v>0.01</v>
      </c>
      <c r="J143" s="10">
        <v>0.02</v>
      </c>
      <c r="K143" s="10">
        <v>0.02</v>
      </c>
      <c r="L143" s="10">
        <v>0.02</v>
      </c>
      <c r="M143" s="10">
        <v>0.05</v>
      </c>
      <c r="N143" s="9">
        <v>0.23</v>
      </c>
      <c r="O143" s="11">
        <f>SUM(B143:G143)</f>
        <v>16.15</v>
      </c>
      <c r="P143" s="11">
        <f>P142+$G$133-O143</f>
        <v>21.020000000000003</v>
      </c>
      <c r="Q143" s="11">
        <f>G143</f>
        <v>8.27</v>
      </c>
      <c r="R143" s="11">
        <f>20-AD144</f>
        <v>10.241150668509277</v>
      </c>
      <c r="S143" s="11">
        <f t="shared" si="71"/>
        <v>0.5120575334254639</v>
      </c>
      <c r="T143" s="11">
        <f t="shared" si="72"/>
        <v>0.8075264457762145</v>
      </c>
      <c r="U143" s="11">
        <f>AL144</f>
        <v>9.758849331490723</v>
      </c>
      <c r="V143" s="11">
        <f>(U143-Q143)^2</f>
        <v>2.2166723318803725</v>
      </c>
      <c r="W143" s="11"/>
      <c r="X143" s="4">
        <v>7</v>
      </c>
      <c r="Y143" s="10">
        <f>P138-Y138-Y139-Y140-Y141-Y142</f>
        <v>0.020967625509623444</v>
      </c>
      <c r="Z143" s="10">
        <f>Z141*Y143/Y141</f>
        <v>0.05646844880227434</v>
      </c>
      <c r="AA143" s="10">
        <f>AA141*Y143/Y141</f>
        <v>0.26810482706877287</v>
      </c>
      <c r="AB143" s="10">
        <f>AB141*Y143/Y141</f>
        <v>0.7469117017212762</v>
      </c>
      <c r="AC143" s="10">
        <f>$G$133*Y143/Y141</f>
        <v>2.2771030239650187</v>
      </c>
      <c r="AD143" s="10">
        <f>$G$133*Y143/Y142</f>
        <v>9.758849331490723</v>
      </c>
      <c r="AE143" s="11"/>
      <c r="AF143" s="4">
        <v>7</v>
      </c>
      <c r="AG143" s="10">
        <f t="shared" si="73"/>
        <v>0.020967625509623444</v>
      </c>
      <c r="AH143" s="10">
        <f>Z143-(Z143*(Z144-AH144)/Z144)</f>
        <v>0.05646844880227434</v>
      </c>
      <c r="AI143" s="10">
        <f>AA143-(AA143*(AA144-AI144)/AA144)</f>
        <v>0.26810482706877287</v>
      </c>
      <c r="AJ143" s="10">
        <f>AB143-(AB143*(AB144-AJ144)/AB144)</f>
        <v>0.7469117017212762</v>
      </c>
      <c r="AK143" s="10">
        <f>AC143-(AC143*(AC144-AK144)/AC144)</f>
        <v>2.2771030239650187</v>
      </c>
      <c r="AL143" s="10">
        <f>AD143-(AD143*(AD144-AL144)/AD144)</f>
        <v>9.758849331490723</v>
      </c>
      <c r="AM143" s="11"/>
      <c r="AN143" s="8" t="s">
        <v>12</v>
      </c>
      <c r="AO143" s="10">
        <f>16*(AG142-AG143)</f>
        <v>0.352062182268992</v>
      </c>
      <c r="AP143" s="10">
        <f>8*(AH142-AH143)</f>
        <v>0.4740738360084959</v>
      </c>
      <c r="AQ143" s="10">
        <f>4*(AI142-AI143)</f>
        <v>1.1254203587735916</v>
      </c>
      <c r="AR143" s="10">
        <f>2*(AJ142-AJ143)</f>
        <v>1.567651064909265</v>
      </c>
      <c r="AS143" s="10">
        <f>AK142-AK143</f>
        <v>2.389641889530183</v>
      </c>
      <c r="AT143" s="9">
        <f>$G$133-AL143</f>
        <v>10.241150668509277</v>
      </c>
      <c r="AU143" s="10">
        <f>AT143-G143</f>
        <v>1.971150668509278</v>
      </c>
      <c r="AV143" s="10">
        <f>AU143^2</f>
        <v>3.885434957964573</v>
      </c>
      <c r="AW143">
        <v>6</v>
      </c>
      <c r="AX143">
        <v>7</v>
      </c>
      <c r="AY143" s="10">
        <f t="shared" si="74"/>
        <v>9.43</v>
      </c>
      <c r="AZ143" s="10">
        <f t="shared" si="75"/>
        <v>8.452847856438975</v>
      </c>
      <c r="BA143" s="10">
        <f t="shared" si="66"/>
        <v>-0.9771521435610246</v>
      </c>
      <c r="BB143" s="24">
        <f t="shared" si="67"/>
        <v>0.9548263116659054</v>
      </c>
      <c r="BC143" s="10">
        <f t="shared" si="70"/>
        <v>-0.0361908201318898</v>
      </c>
    </row>
    <row r="144" spans="1:55" ht="12.75">
      <c r="A144" s="12" t="s">
        <v>13</v>
      </c>
      <c r="B144" s="28">
        <v>1.41</v>
      </c>
      <c r="C144" s="28">
        <v>0.88</v>
      </c>
      <c r="D144" s="28">
        <v>2.22</v>
      </c>
      <c r="E144" s="28">
        <v>1.73</v>
      </c>
      <c r="F144" s="28">
        <v>3.05</v>
      </c>
      <c r="G144" s="28">
        <v>11.73</v>
      </c>
      <c r="H144" s="13"/>
      <c r="I144" s="13"/>
      <c r="J144" s="13"/>
      <c r="K144" s="13"/>
      <c r="L144" s="13"/>
      <c r="M144" s="13"/>
      <c r="N144" s="13"/>
      <c r="O144" s="14">
        <f>SUM(B144:G144)</f>
        <v>21.02</v>
      </c>
      <c r="P144" s="14"/>
      <c r="Q144" s="14"/>
      <c r="R144" s="14"/>
      <c r="S144" s="14"/>
      <c r="T144" s="14"/>
      <c r="U144" s="14"/>
      <c r="V144" s="14"/>
      <c r="W144" s="22"/>
      <c r="X144" s="16" t="s">
        <v>18</v>
      </c>
      <c r="Y144" s="10">
        <f aca="true" t="shared" si="76" ref="Y144:AD144">SUM(Y138:Y143)</f>
        <v>9.8</v>
      </c>
      <c r="Z144" s="10">
        <f t="shared" si="76"/>
        <v>6.392630773012454</v>
      </c>
      <c r="AA144" s="10">
        <f t="shared" si="76"/>
        <v>10.351376817774206</v>
      </c>
      <c r="AB144" s="10">
        <f t="shared" si="76"/>
        <v>8.837841372168354</v>
      </c>
      <c r="AC144" s="10">
        <f t="shared" si="76"/>
        <v>6.94384793746022</v>
      </c>
      <c r="AD144" s="10">
        <f t="shared" si="76"/>
        <v>9.758849331490723</v>
      </c>
      <c r="AE144" s="22"/>
      <c r="AF144" s="16" t="s">
        <v>18</v>
      </c>
      <c r="AG144" s="10">
        <f t="shared" si="73"/>
        <v>9.8</v>
      </c>
      <c r="AH144" s="10">
        <f>Z144*(V133*(Z144/$G$133)^2-V133*(Z144/$G$133)+1)</f>
        <v>6.392630773012454</v>
      </c>
      <c r="AI144" s="10">
        <f>AA144*(V133*(AA144/$G$133)^2-V133*(AA144/$G$133)+1)</f>
        <v>10.351376817774206</v>
      </c>
      <c r="AJ144" s="10">
        <f>AB144*(V133*(AB144/$G$133)^2-V133*(AB144/$G$133)+1)</f>
        <v>8.837841372168354</v>
      </c>
      <c r="AK144" s="10">
        <f>AC144*(V133*(AC144/$G$133)^2-V133*(AC144/$G$133)+1)</f>
        <v>6.94384793746022</v>
      </c>
      <c r="AL144" s="10">
        <f>AD144*(V133*(AD144/$G$133)^2-V133*(AD144/$G$133)+1)</f>
        <v>9.758849331490723</v>
      </c>
      <c r="AM144" s="22"/>
      <c r="AN144" s="12" t="s">
        <v>13</v>
      </c>
      <c r="AO144" s="13">
        <f>32*AG143</f>
        <v>0.6709640163079502</v>
      </c>
      <c r="AP144" s="13">
        <f>16*AH143</f>
        <v>0.9034951808363895</v>
      </c>
      <c r="AQ144" s="13">
        <f>8*AI143</f>
        <v>2.144838616550183</v>
      </c>
      <c r="AR144" s="13">
        <f>4*AJ143</f>
        <v>2.9876468068851048</v>
      </c>
      <c r="AS144" s="13">
        <f>2*AK143</f>
        <v>4.5542060479300375</v>
      </c>
      <c r="AT144" s="13">
        <f>AL143</f>
        <v>9.758849331490723</v>
      </c>
      <c r="AW144">
        <v>6</v>
      </c>
      <c r="AX144">
        <v>3</v>
      </c>
      <c r="AY144" s="10">
        <f>D75</f>
        <v>2.45</v>
      </c>
      <c r="AZ144" s="10">
        <f>AQ75</f>
        <v>1.7517904063223224</v>
      </c>
      <c r="BA144" s="10">
        <f t="shared" si="66"/>
        <v>-0.6982095936776778</v>
      </c>
      <c r="BB144" s="24">
        <f t="shared" si="67"/>
        <v>0.48749663670354787</v>
      </c>
      <c r="BC144" s="10">
        <f t="shared" si="70"/>
        <v>-0.025859614580654732</v>
      </c>
    </row>
    <row r="145" spans="49:55" ht="12.75">
      <c r="AW145">
        <v>6</v>
      </c>
      <c r="AX145">
        <v>4</v>
      </c>
      <c r="AY145" s="10">
        <f>D76</f>
        <v>1.6</v>
      </c>
      <c r="AZ145" s="10">
        <f>AQ76</f>
        <v>1.9796610245178006</v>
      </c>
      <c r="BA145" s="10">
        <f t="shared" si="66"/>
        <v>0.3796610245178005</v>
      </c>
      <c r="BB145" s="24">
        <f t="shared" si="67"/>
        <v>0.1441424935379059</v>
      </c>
      <c r="BC145" s="10">
        <f t="shared" si="70"/>
        <v>0.014061519426585203</v>
      </c>
    </row>
    <row r="146" spans="1:55" ht="12.75">
      <c r="A146" s="2" t="s">
        <v>55</v>
      </c>
      <c r="F146" t="s">
        <v>30</v>
      </c>
      <c r="G146">
        <v>20</v>
      </c>
      <c r="O146" s="18" t="s">
        <v>22</v>
      </c>
      <c r="P146" s="20">
        <f>AVERAGE(S152:S156)*$G$146</f>
        <v>10.70269861680578</v>
      </c>
      <c r="Q146" s="8" t="s">
        <v>24</v>
      </c>
      <c r="R146">
        <f>P146/$G$146</f>
        <v>0.535134930840289</v>
      </c>
      <c r="T146" s="19">
        <f>(P147-1)/(R146^2-R146)</f>
        <v>1.3681689518928497</v>
      </c>
      <c r="U146" s="18" t="s">
        <v>20</v>
      </c>
      <c r="V146" s="19">
        <v>0</v>
      </c>
      <c r="W146" s="19"/>
      <c r="Y146" s="11"/>
      <c r="Z146" s="4" t="s">
        <v>32</v>
      </c>
      <c r="AA146" s="4" t="s">
        <v>33</v>
      </c>
      <c r="AB146" s="4" t="s">
        <v>34</v>
      </c>
      <c r="AC146" s="4" t="s">
        <v>35</v>
      </c>
      <c r="AD146" s="4" t="s">
        <v>36</v>
      </c>
      <c r="AW146">
        <v>6</v>
      </c>
      <c r="AX146">
        <v>5</v>
      </c>
      <c r="AY146" s="10">
        <f>D77</f>
        <v>2.71</v>
      </c>
      <c r="AZ146" s="10">
        <f>AQ77</f>
        <v>4.301520552198399</v>
      </c>
      <c r="BA146" s="10">
        <f t="shared" si="66"/>
        <v>1.591520552198399</v>
      </c>
      <c r="BB146" s="24">
        <f t="shared" si="67"/>
        <v>2.532937668069897</v>
      </c>
      <c r="BC146" s="10">
        <f t="shared" si="70"/>
        <v>0.05894520563697774</v>
      </c>
    </row>
    <row r="147" spans="1:5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2" t="s">
        <v>23</v>
      </c>
      <c r="P147" s="3">
        <f>Q151/P146</f>
        <v>0.6596467164752375</v>
      </c>
      <c r="Q147" s="12"/>
      <c r="R147" s="3"/>
      <c r="S147" s="3"/>
      <c r="T147" s="3"/>
      <c r="U147" s="17" t="s">
        <v>21</v>
      </c>
      <c r="V147" s="13">
        <f>SUM(V152:V156)</f>
        <v>79.64183067394866</v>
      </c>
      <c r="W147" s="19"/>
      <c r="Y147" s="21" t="s">
        <v>37</v>
      </c>
      <c r="Z147">
        <f>-2</f>
        <v>-2</v>
      </c>
      <c r="AA147">
        <f>-2*$G$146-4*Y151</f>
        <v>-75.92737166622341</v>
      </c>
      <c r="AB147">
        <f>-2*$G$146*Y151-4*$G$146*Y152-8*Y151*Y152</f>
        <v>-751.4588005722856</v>
      </c>
      <c r="AC147">
        <f>-2*$G$146*Y151*Y152-4*$G$146*Y151*Y153-8*$G$146*Y152*Y153-16*Y151*Y152*Y153</f>
        <v>-2274.4368908390816</v>
      </c>
      <c r="AD147">
        <f>-2*$G$146*Y151*Y152*Y153-4*$G$146*Y151*Y152*Y154-8*$G$146*Y151*Y153*Y154-16*$G$146*Y152*Y153*Y154-32*Y151*Y152*Y153*Y154</f>
        <v>-2426.8739558580533</v>
      </c>
      <c r="AE147" s="19"/>
      <c r="AM147" s="19"/>
      <c r="AN147" s="3"/>
      <c r="AO147" s="3"/>
      <c r="AP147" s="3"/>
      <c r="AQ147" s="3"/>
      <c r="AR147" s="3"/>
      <c r="AS147" s="3"/>
      <c r="AT147" s="3"/>
      <c r="AW147">
        <v>6</v>
      </c>
      <c r="AX147">
        <v>6</v>
      </c>
      <c r="AY147" s="10">
        <f>D78</f>
        <v>3.47</v>
      </c>
      <c r="AZ147" s="10">
        <f>AQ78</f>
        <v>3.185319702381663</v>
      </c>
      <c r="BA147" s="10">
        <f t="shared" si="66"/>
        <v>-0.28468029761833735</v>
      </c>
      <c r="BB147" s="24">
        <f t="shared" si="67"/>
        <v>0.08104287185206513</v>
      </c>
      <c r="BC147" s="10">
        <f t="shared" si="70"/>
        <v>-0.010543714726605088</v>
      </c>
    </row>
    <row r="148" spans="25:55" ht="12.75">
      <c r="Y148" s="21" t="s">
        <v>38</v>
      </c>
      <c r="Z148">
        <f>2*P151-$G$146-P152</f>
        <v>-10.849999999999994</v>
      </c>
      <c r="AA148">
        <f>2*P151*$G$146+4*P151*Y151-P153*Y151-2*$G$146*Y151-$G$146*Y151-4*Y151^2</f>
        <v>-79.2198545240226</v>
      </c>
      <c r="AB148">
        <f>2*P151*$G$146*Y151-2*$G$146*Y151^2+4*P151*$G$146*Y152+8*P151*Y151*Y152-P154*Y151*Y152-4*$G$146*Y151*Y152-2*$G$146*Y151*Y152-$G$146*Y151*Y152-8*Y151^2*Y152-4*$G$146*Y152^2-8*Y151*Y152^2</f>
        <v>-38.970631830118066</v>
      </c>
      <c r="AC148">
        <f>2*P151*$G$146*Y151*Y152-2*$G$146*Y151^2*Y152-2*$G$146*Y151*Y152^2+4*P151*$G$146*Y151*Y153-4*$G$146*Y151^2*Y153+8*P151*$G$146*Y152*Y153+16*P151*Y151*Y152*Y153-P155*Y151*Y152*Y153-8*$G$146*Y151*Y152*Y153-4*$G$146*Y151*Y152*Y153-2*$G$146*Y151*Y152*Y153-$G$146*Y151*Y152*Y153-16*Y151^2*Y152*Y153-8*$G$146*Y152^2*Y153-16*Y151*Y152^2*Y153-4*$G$146*Y151*Y153^2-8*$G$146*Y152*Y153^2-16*Y151*Y152*Y153^2</f>
        <v>229.4506513182131</v>
      </c>
      <c r="AD148">
        <f>2*P151*$G$146*Y151*Y152*Y153-2*$G$146*Y151^2*Y152*Y153-2*$G$146*Y151*Y152^2*Y153-2*$G$146*Y151*Y152*Y153^2+4*P151*$G$146*Y151*Y152*Y154-4*$G$146*Y151^2*Y152*Y154-4*$G$146*Y151*Y152^2*Y154+8*P151*$G$146*Y151*Y153*Y154-8*$G$146*Y151^2*Y153*Y154+16*P151*$G$146*Y152*Y153*Y154+32*P151*Y151*Y152*Y153*Y154-P156*Y151*Y152*Y153*Y154-16*$G$146*Y151*Y152*Y153*Y154-8*$G$146*Y151*Y152*Y153*Y154-4*$G$146*Y151*Y152*Y153*Y154-2*$G$146*Y151*Y152*Y153*Y154-$G$146*Y151*Y152*Y153*Y154-32*Y151^2*Y152*Y153*Y154-16*$G$146*Y152^2*Y153*Y154-32*Y151*Y152^2*Y153*Y154-8*$G$146*Y151*Y153^2*Y154-16*$G$146*Y152*Y153^2*Y154-32*Y151*Y152*Y153^2*Y154-4*$G$146*Y151*Y152*Y154^2-8*$G$146*Y151*Y153*Y154^2-16*$G$146*Y152*Y153*Y154^2-32*Y151*Y152*Y153*Y154^2</f>
        <v>4.592637159289524</v>
      </c>
      <c r="AW148">
        <v>6</v>
      </c>
      <c r="AX148">
        <v>7</v>
      </c>
      <c r="AY148" s="10">
        <f>D79</f>
        <v>9.77</v>
      </c>
      <c r="AZ148" s="10">
        <f>AQ79</f>
        <v>8.781708314579815</v>
      </c>
      <c r="BA148" s="10">
        <f t="shared" si="66"/>
        <v>-0.9882916854201849</v>
      </c>
      <c r="BB148" s="24">
        <f t="shared" si="67"/>
        <v>0.9767204554706697</v>
      </c>
      <c r="BC148" s="10">
        <f t="shared" si="70"/>
        <v>-0.03660339575630314</v>
      </c>
    </row>
    <row r="149" spans="1:55" ht="15.75">
      <c r="A149" s="4" t="s">
        <v>1</v>
      </c>
      <c r="B149" s="5" t="s">
        <v>2</v>
      </c>
      <c r="C149" s="5"/>
      <c r="D149" s="5"/>
      <c r="E149" s="5"/>
      <c r="F149" s="5"/>
      <c r="G149" s="5"/>
      <c r="H149" s="6"/>
      <c r="I149" s="5" t="s">
        <v>3</v>
      </c>
      <c r="J149" s="5"/>
      <c r="K149" s="5"/>
      <c r="L149" s="5"/>
      <c r="M149" s="5"/>
      <c r="N149" s="5"/>
      <c r="O149" s="4" t="s">
        <v>4</v>
      </c>
      <c r="P149" s="4" t="s">
        <v>14</v>
      </c>
      <c r="Q149" s="4" t="s">
        <v>5</v>
      </c>
      <c r="R149" s="4" t="s">
        <v>40</v>
      </c>
      <c r="S149" s="4" t="s">
        <v>42</v>
      </c>
      <c r="T149" s="4" t="s">
        <v>16</v>
      </c>
      <c r="U149" s="4" t="s">
        <v>15</v>
      </c>
      <c r="V149" s="4"/>
      <c r="W149" s="4"/>
      <c r="Y149" s="21" t="s">
        <v>39</v>
      </c>
      <c r="Z149">
        <f>$G$146*P151</f>
        <v>258.8</v>
      </c>
      <c r="AA149">
        <f>P151*$G$146*Y151-$G$146*Y151^2</f>
        <v>711.0309032509638</v>
      </c>
      <c r="AB149">
        <f>P151*$G$146*Y151*Y152-$G$146*Y151^2*Y152-$G$146*Y151*Y152^2</f>
        <v>638.1552309845747</v>
      </c>
      <c r="AC149">
        <f>P151*$G$146*Y151*Y152*Y153-$G$146*Y151^2*Y152*Y153-$G$146*Y151*Y152^2*Y153-$G$146*Y151*Y152*Y153^2</f>
        <v>199.33812732956216</v>
      </c>
      <c r="AD149">
        <f>P151*$G$146*Y151*Y152*Y153*Y154-$G$146*Y151^2*Y152*Y153*Y154-$G$146*Y151*Y152^2*Y153*Y154-$G$146*Y151*Y152*Y153^2*Y154-$G$146*Y151*Y152*Y153*Y154^2</f>
        <v>18.779357221731296</v>
      </c>
      <c r="AE149" s="4"/>
      <c r="AM149" s="4"/>
      <c r="AN149" s="4" t="s">
        <v>1</v>
      </c>
      <c r="AO149" s="5" t="s">
        <v>31</v>
      </c>
      <c r="AP149" s="5"/>
      <c r="AQ149" s="5"/>
      <c r="AR149" s="5"/>
      <c r="AS149" s="5"/>
      <c r="AT149" s="5"/>
      <c r="AW149">
        <v>6</v>
      </c>
      <c r="AX149">
        <v>4</v>
      </c>
      <c r="AY149" s="10">
        <f>E76</f>
        <v>4.4</v>
      </c>
      <c r="AZ149" s="10">
        <f>AR76</f>
        <v>3.914719570604817</v>
      </c>
      <c r="BA149" s="10">
        <f t="shared" si="66"/>
        <v>-0.48528042939518334</v>
      </c>
      <c r="BB149" s="24">
        <f t="shared" si="67"/>
        <v>0.23549709515397352</v>
      </c>
      <c r="BC149" s="10">
        <f t="shared" si="70"/>
        <v>-0.017973349236858643</v>
      </c>
    </row>
    <row r="150" spans="1:55" ht="12.75">
      <c r="A150" s="7" t="s">
        <v>6</v>
      </c>
      <c r="B150" s="7" t="s">
        <v>7</v>
      </c>
      <c r="C150" s="7" t="s">
        <v>8</v>
      </c>
      <c r="D150" s="7" t="s">
        <v>9</v>
      </c>
      <c r="E150" s="7" t="s">
        <v>10</v>
      </c>
      <c r="F150" s="7" t="s">
        <v>11</v>
      </c>
      <c r="G150" s="7" t="s">
        <v>12</v>
      </c>
      <c r="H150" s="7"/>
      <c r="I150" s="7" t="s">
        <v>7</v>
      </c>
      <c r="J150" s="7" t="s">
        <v>8</v>
      </c>
      <c r="K150" s="7" t="s">
        <v>9</v>
      </c>
      <c r="L150" s="7" t="s">
        <v>10</v>
      </c>
      <c r="M150" s="7" t="s">
        <v>11</v>
      </c>
      <c r="N150" s="7" t="s">
        <v>12</v>
      </c>
      <c r="O150" s="7"/>
      <c r="P150" s="7"/>
      <c r="Q150" s="7" t="s">
        <v>41</v>
      </c>
      <c r="R150" s="7" t="s">
        <v>41</v>
      </c>
      <c r="S150" s="7" t="s">
        <v>41</v>
      </c>
      <c r="T150" s="7"/>
      <c r="U150" s="7" t="s">
        <v>41</v>
      </c>
      <c r="V150" s="7" t="s">
        <v>19</v>
      </c>
      <c r="W150" s="15"/>
      <c r="X150" s="4" t="s">
        <v>17</v>
      </c>
      <c r="Y150" s="4">
        <v>1</v>
      </c>
      <c r="Z150" s="15">
        <v>2</v>
      </c>
      <c r="AA150" s="15">
        <v>3</v>
      </c>
      <c r="AB150" s="15">
        <v>4</v>
      </c>
      <c r="AC150" s="15">
        <v>5</v>
      </c>
      <c r="AD150" s="15">
        <v>6</v>
      </c>
      <c r="AE150" s="15"/>
      <c r="AF150" s="4" t="s">
        <v>17</v>
      </c>
      <c r="AG150" s="4">
        <v>1</v>
      </c>
      <c r="AH150" s="15">
        <v>2</v>
      </c>
      <c r="AI150" s="15">
        <v>3</v>
      </c>
      <c r="AJ150" s="15">
        <v>4</v>
      </c>
      <c r="AK150" s="15">
        <v>5</v>
      </c>
      <c r="AL150" s="15">
        <v>6</v>
      </c>
      <c r="AM150" s="15"/>
      <c r="AN150" s="7" t="s">
        <v>6</v>
      </c>
      <c r="AO150" s="7" t="s">
        <v>7</v>
      </c>
      <c r="AP150" s="7" t="s">
        <v>8</v>
      </c>
      <c r="AQ150" s="7" t="s">
        <v>9</v>
      </c>
      <c r="AR150" s="7" t="s">
        <v>10</v>
      </c>
      <c r="AS150" s="7" t="s">
        <v>11</v>
      </c>
      <c r="AT150" s="7" t="s">
        <v>12</v>
      </c>
      <c r="AW150">
        <v>6</v>
      </c>
      <c r="AX150">
        <v>5</v>
      </c>
      <c r="AY150" s="10">
        <f>E77</f>
        <v>4.85</v>
      </c>
      <c r="AZ150" s="10">
        <f>AR77</f>
        <v>4.253063145785671</v>
      </c>
      <c r="BA150" s="10">
        <f t="shared" si="66"/>
        <v>-0.596936854214329</v>
      </c>
      <c r="BB150" s="24">
        <f t="shared" si="67"/>
        <v>0.356333607919299</v>
      </c>
      <c r="BC150" s="10">
        <f t="shared" si="70"/>
        <v>-0.02210877237830848</v>
      </c>
    </row>
    <row r="151" spans="1:55" ht="12.75">
      <c r="A151" s="8" t="s">
        <v>7</v>
      </c>
      <c r="B151" s="25">
        <v>7.06</v>
      </c>
      <c r="C151" s="4"/>
      <c r="D151" s="4"/>
      <c r="E151" s="4"/>
      <c r="F151" s="4"/>
      <c r="G151" s="4"/>
      <c r="H151" s="10"/>
      <c r="I151" s="9">
        <v>0</v>
      </c>
      <c r="J151" s="10"/>
      <c r="K151" s="10"/>
      <c r="L151" s="10"/>
      <c r="M151" s="10"/>
      <c r="N151" s="10"/>
      <c r="O151" s="11">
        <f>B151</f>
        <v>7.06</v>
      </c>
      <c r="P151" s="11">
        <f>$G$146-O151</f>
        <v>12.940000000000001</v>
      </c>
      <c r="Q151" s="11">
        <f>$B151</f>
        <v>7.06</v>
      </c>
      <c r="R151" s="11">
        <f>20-Y157</f>
        <v>7.0600000000000005</v>
      </c>
      <c r="S151" s="11">
        <f aca="true" t="shared" si="77" ref="S151:S156">R151/$G$146</f>
        <v>0.35300000000000004</v>
      </c>
      <c r="T151" s="11">
        <f aca="true" t="shared" si="78" ref="T151:T156">Q151/R151</f>
        <v>0.9999999999999999</v>
      </c>
      <c r="U151" s="11">
        <f>AG157</f>
        <v>12.94</v>
      </c>
      <c r="V151" s="11"/>
      <c r="W151" s="11"/>
      <c r="X151" s="4">
        <v>2</v>
      </c>
      <c r="Y151" s="10">
        <f>(-Z148-SQRT(Z148^2-4*Z147*Z149))/(2*Z147)</f>
        <v>8.981842916555852</v>
      </c>
      <c r="Z151" s="10"/>
      <c r="AA151" s="10"/>
      <c r="AB151" s="10"/>
      <c r="AC151" s="10"/>
      <c r="AD151" s="10"/>
      <c r="AE151" s="11"/>
      <c r="AF151" s="4">
        <v>2</v>
      </c>
      <c r="AG151" s="10">
        <f aca="true" t="shared" si="79" ref="AG151:AG157">Y151</f>
        <v>8.981842916555852</v>
      </c>
      <c r="AH151" s="10"/>
      <c r="AI151" s="10"/>
      <c r="AJ151" s="10"/>
      <c r="AK151" s="10"/>
      <c r="AL151" s="10"/>
      <c r="AM151" s="11"/>
      <c r="AN151" s="8" t="s">
        <v>7</v>
      </c>
      <c r="AO151" s="9">
        <f>$G$146-AG151-AG152-AG153-AG154-AG155-AG156</f>
        <v>7.06</v>
      </c>
      <c r="AP151" s="10"/>
      <c r="AQ151" s="10"/>
      <c r="AR151" s="10"/>
      <c r="AS151" s="10"/>
      <c r="AT151" s="10"/>
      <c r="AW151">
        <v>6</v>
      </c>
      <c r="AX151">
        <v>6</v>
      </c>
      <c r="AY151" s="10">
        <f>E78</f>
        <v>2.55</v>
      </c>
      <c r="AZ151" s="10">
        <f>AR78</f>
        <v>3.1494365002674964</v>
      </c>
      <c r="BA151" s="10">
        <f t="shared" si="66"/>
        <v>0.5994365002674966</v>
      </c>
      <c r="BB151" s="24">
        <f t="shared" si="67"/>
        <v>0.3593241178529445</v>
      </c>
      <c r="BC151" s="10">
        <f t="shared" si="70"/>
        <v>0.022201351861759134</v>
      </c>
    </row>
    <row r="152" spans="1:55" ht="12.75">
      <c r="A152" s="8" t="s">
        <v>8</v>
      </c>
      <c r="B152" s="26">
        <v>4.34</v>
      </c>
      <c r="C152" s="25">
        <v>11.87</v>
      </c>
      <c r="D152" s="26"/>
      <c r="E152" s="26"/>
      <c r="F152" s="26"/>
      <c r="G152" s="26"/>
      <c r="H152" s="10"/>
      <c r="I152" s="10">
        <v>0</v>
      </c>
      <c r="J152" s="9">
        <v>0</v>
      </c>
      <c r="K152" s="10"/>
      <c r="L152" s="10"/>
      <c r="M152" s="10"/>
      <c r="N152" s="10"/>
      <c r="O152" s="11">
        <f>SUM(B152:C152)</f>
        <v>16.21</v>
      </c>
      <c r="P152" s="11">
        <f>P151+$G$146-O152</f>
        <v>16.729999999999997</v>
      </c>
      <c r="Q152" s="11">
        <f>C152</f>
        <v>11.87</v>
      </c>
      <c r="R152" s="11">
        <f>20-Z157</f>
        <v>11.186314166888302</v>
      </c>
      <c r="S152" s="11">
        <f t="shared" si="77"/>
        <v>0.5593157083444151</v>
      </c>
      <c r="T152" s="11">
        <f t="shared" si="78"/>
        <v>1.0611180611336146</v>
      </c>
      <c r="U152" s="11">
        <f>AH157</f>
        <v>8.813685833111698</v>
      </c>
      <c r="V152" s="11">
        <f>(U152-Q152)^2</f>
        <v>9.341056286722129</v>
      </c>
      <c r="W152" s="11"/>
      <c r="X152" s="4">
        <v>3</v>
      </c>
      <c r="Y152" s="10">
        <f>(-AA148-SQRT(AA148^2-4*AA147*AA149))/(2*AA147)</f>
        <v>2.582633082797179</v>
      </c>
      <c r="Z152" s="10">
        <f>$G$146*Y152/Y151</f>
        <v>5.750786574182277</v>
      </c>
      <c r="AA152" s="10"/>
      <c r="AB152" s="10"/>
      <c r="AC152" s="10"/>
      <c r="AD152" s="10"/>
      <c r="AE152" s="11"/>
      <c r="AF152" s="4">
        <v>3</v>
      </c>
      <c r="AG152" s="10">
        <f t="shared" si="79"/>
        <v>2.582633082797179</v>
      </c>
      <c r="AH152" s="10">
        <f>Z152-(Z152*(Z157-AH157)/Z157)</f>
        <v>5.750786574182277</v>
      </c>
      <c r="AI152" s="10"/>
      <c r="AJ152" s="10"/>
      <c r="AK152" s="10"/>
      <c r="AL152" s="10"/>
      <c r="AM152" s="11"/>
      <c r="AN152" s="8" t="s">
        <v>8</v>
      </c>
      <c r="AO152" s="10">
        <f>AG151-AG152-AG153-AG154-AG155-AG156</f>
        <v>5.023685833111704</v>
      </c>
      <c r="AP152" s="9">
        <f>$G$146-AH152-AH153-AH154-AH155-AH156</f>
        <v>11.1863141668883</v>
      </c>
      <c r="AQ152" s="10"/>
      <c r="AR152" s="10"/>
      <c r="AS152" s="10"/>
      <c r="AT152" s="10"/>
      <c r="AU152" s="10">
        <f>AP152-C152</f>
        <v>-0.6836858331116993</v>
      </c>
      <c r="AV152" s="10">
        <f>AU152^2</f>
        <v>0.4674263183976383</v>
      </c>
      <c r="AW152">
        <v>6</v>
      </c>
      <c r="AX152">
        <v>7</v>
      </c>
      <c r="AY152" s="10">
        <f>E79</f>
        <v>8.2</v>
      </c>
      <c r="AZ152" s="10">
        <f>AR79</f>
        <v>8.682780783342016</v>
      </c>
      <c r="BA152" s="10">
        <f t="shared" si="66"/>
        <v>0.482780783342017</v>
      </c>
      <c r="BB152" s="24">
        <f t="shared" si="67"/>
        <v>0.23307728476433157</v>
      </c>
      <c r="BC152" s="10">
        <f t="shared" si="70"/>
        <v>0.01788076975340804</v>
      </c>
    </row>
    <row r="153" spans="1:55" ht="12.75">
      <c r="A153" s="8" t="s">
        <v>9</v>
      </c>
      <c r="B153" s="26">
        <v>1.72</v>
      </c>
      <c r="C153" s="26">
        <v>2.12</v>
      </c>
      <c r="D153" s="25">
        <v>10.61</v>
      </c>
      <c r="E153" s="26"/>
      <c r="F153" s="26"/>
      <c r="G153" s="26"/>
      <c r="H153" s="10"/>
      <c r="I153" s="10">
        <v>0</v>
      </c>
      <c r="J153" s="10">
        <v>0</v>
      </c>
      <c r="K153" s="9">
        <v>0</v>
      </c>
      <c r="L153" s="10"/>
      <c r="M153" s="10"/>
      <c r="N153" s="10"/>
      <c r="O153" s="11">
        <f>SUM(B153:D153)</f>
        <v>14.45</v>
      </c>
      <c r="P153" s="11">
        <f>P152+$G$146-O153</f>
        <v>22.279999999999998</v>
      </c>
      <c r="Q153" s="11">
        <f>D153</f>
        <v>10.61</v>
      </c>
      <c r="R153" s="11">
        <f>20-AA157</f>
        <v>9.34789452044672</v>
      </c>
      <c r="S153" s="11">
        <f t="shared" si="77"/>
        <v>0.467394726022336</v>
      </c>
      <c r="T153" s="11">
        <f t="shared" si="78"/>
        <v>1.1350149466056412</v>
      </c>
      <c r="U153" s="11">
        <f>AI157</f>
        <v>10.65210547955328</v>
      </c>
      <c r="V153" s="11">
        <f>(U153-Q153)^2</f>
        <v>0.001772871408411683</v>
      </c>
      <c r="W153" s="11"/>
      <c r="X153" s="4">
        <v>4</v>
      </c>
      <c r="Y153" s="10">
        <f>(-AB148-SQRT(AB148^2-4*AB147*AB149))/(2*AB147)</f>
        <v>0.8959670865403385</v>
      </c>
      <c r="Z153" s="10">
        <f>Z152*Y153/Y152</f>
        <v>1.9950629171856038</v>
      </c>
      <c r="AA153" s="10">
        <f>$G$146*Y153/Y152</f>
        <v>6.938400135182511</v>
      </c>
      <c r="AB153" s="10"/>
      <c r="AC153" s="10"/>
      <c r="AD153" s="10"/>
      <c r="AE153" s="11"/>
      <c r="AF153" s="4">
        <v>4</v>
      </c>
      <c r="AG153" s="10">
        <f t="shared" si="79"/>
        <v>0.8959670865403385</v>
      </c>
      <c r="AH153" s="10">
        <f>Z153-(Z153*(Z157-AH157)/Z157)</f>
        <v>1.9950629171856038</v>
      </c>
      <c r="AI153" s="10">
        <f>AA153-(AA153*(AA157-AI157)/AA157)</f>
        <v>6.938400135182511</v>
      </c>
      <c r="AJ153" s="10"/>
      <c r="AK153" s="10"/>
      <c r="AL153" s="10"/>
      <c r="AM153" s="11"/>
      <c r="AN153" s="8" t="s">
        <v>9</v>
      </c>
      <c r="AO153" s="10">
        <f>2*(AG152-AG153-AG154-AG155-AG156)</f>
        <v>2.4142181643004164</v>
      </c>
      <c r="AP153" s="10">
        <f>AH152-AH153-AH154-AH155-AH156</f>
        <v>2.6878873152528535</v>
      </c>
      <c r="AQ153" s="9">
        <f>$G$146-AI153-AI154-AI155-AI156</f>
        <v>9.347894520446719</v>
      </c>
      <c r="AR153" s="10"/>
      <c r="AS153" s="10"/>
      <c r="AT153" s="10"/>
      <c r="AU153" s="10">
        <f>AQ153-D153</f>
        <v>-1.2621054795532807</v>
      </c>
      <c r="AV153" s="10">
        <f>AU153^2</f>
        <v>1.5929102415184166</v>
      </c>
      <c r="AW153">
        <v>6</v>
      </c>
      <c r="AX153">
        <v>5</v>
      </c>
      <c r="AY153" s="10">
        <f>F77</f>
        <v>9.16</v>
      </c>
      <c r="AZ153" s="10">
        <f>AS77</f>
        <v>8.364620511132951</v>
      </c>
      <c r="BA153" s="10">
        <f t="shared" si="66"/>
        <v>-0.7953794888670487</v>
      </c>
      <c r="BB153" s="24">
        <f t="shared" si="67"/>
        <v>0.6326285313104076</v>
      </c>
      <c r="BC153" s="10">
        <f t="shared" si="70"/>
        <v>-0.02945849958766847</v>
      </c>
    </row>
    <row r="154" spans="1:55" ht="12.75">
      <c r="A154" s="8" t="s">
        <v>10</v>
      </c>
      <c r="B154" s="26">
        <v>1.85</v>
      </c>
      <c r="C154" s="26">
        <v>1.28</v>
      </c>
      <c r="D154" s="26">
        <v>4.08</v>
      </c>
      <c r="E154" s="25">
        <v>8.83</v>
      </c>
      <c r="F154" s="26"/>
      <c r="G154" s="26"/>
      <c r="H154" s="10"/>
      <c r="I154" s="10">
        <v>0</v>
      </c>
      <c r="J154" s="10">
        <v>0</v>
      </c>
      <c r="K154" s="10">
        <v>0</v>
      </c>
      <c r="L154" s="9">
        <v>0</v>
      </c>
      <c r="M154" s="10"/>
      <c r="N154" s="10"/>
      <c r="O154" s="11">
        <f>SUM(B154:E154)</f>
        <v>16.04</v>
      </c>
      <c r="P154" s="11">
        <f>P153+$G$146-O154</f>
        <v>26.240000000000002</v>
      </c>
      <c r="Q154" s="11">
        <f>E154</f>
        <v>8.83</v>
      </c>
      <c r="R154" s="11">
        <f>20-AB157</f>
        <v>9.295211368569817</v>
      </c>
      <c r="S154" s="11">
        <f t="shared" si="77"/>
        <v>0.46476056842849084</v>
      </c>
      <c r="T154" s="11">
        <f t="shared" si="78"/>
        <v>0.9499515018945293</v>
      </c>
      <c r="U154" s="11">
        <f>AJ157</f>
        <v>10.704788631430183</v>
      </c>
      <c r="V154" s="11">
        <f>(U154-Q154)^2</f>
        <v>3.51483241253986</v>
      </c>
      <c r="W154" s="11"/>
      <c r="X154" s="4">
        <v>5</v>
      </c>
      <c r="Y154" s="10">
        <f>(-AC148-SQRT(AC148^2-4*AC147*AC149))/(2*AC147)</f>
        <v>0.3507529759840226</v>
      </c>
      <c r="Z154" s="10">
        <f>$G$146*Y154/Y151</f>
        <v>0.7810267430473415</v>
      </c>
      <c r="AA154" s="10">
        <f>$G$146*Y154/Y152</f>
        <v>2.716243188553379</v>
      </c>
      <c r="AB154" s="10">
        <f>$G$146*Y154/Y153</f>
        <v>7.829595110204552</v>
      </c>
      <c r="AC154" s="10"/>
      <c r="AD154" s="10"/>
      <c r="AE154" s="11"/>
      <c r="AF154" s="4">
        <v>5</v>
      </c>
      <c r="AG154" s="10">
        <f t="shared" si="79"/>
        <v>0.3507529759840226</v>
      </c>
      <c r="AH154" s="10">
        <f>Z154-(Z154*(Z157-AH157)/Z157)</f>
        <v>0.7810267430473415</v>
      </c>
      <c r="AI154" s="10">
        <f>AA154-(AA154*(AA157-AI157)/AA157)</f>
        <v>2.716243188553379</v>
      </c>
      <c r="AJ154" s="10">
        <f>AB154-(AB154*(AB157-AJ157)/AB157)</f>
        <v>7.829595110204552</v>
      </c>
      <c r="AK154" s="10"/>
      <c r="AL154" s="10"/>
      <c r="AM154" s="11"/>
      <c r="AN154" s="8" t="s">
        <v>10</v>
      </c>
      <c r="AO154" s="10">
        <f>4*(AG153-AG154-AG155-AG156)</f>
        <v>1.6656406897348268</v>
      </c>
      <c r="AP154" s="10">
        <f>2*(AH153-AH154-AH155-AH156)</f>
        <v>1.8544531508835684</v>
      </c>
      <c r="AQ154" s="10">
        <f>AI153-AI154-AI155-AI156</f>
        <v>3.2246947908117423</v>
      </c>
      <c r="AR154" s="9">
        <f>$G$146-AJ154-AJ155-AJ156</f>
        <v>9.295211368569817</v>
      </c>
      <c r="AS154" s="10"/>
      <c r="AT154" s="10"/>
      <c r="AU154" s="10">
        <f>AR154-E154</f>
        <v>0.4652113685698165</v>
      </c>
      <c r="AV154" s="10">
        <f>AU154^2</f>
        <v>0.21642161744660163</v>
      </c>
      <c r="AW154">
        <v>6</v>
      </c>
      <c r="AX154">
        <v>6</v>
      </c>
      <c r="AY154" s="10">
        <f>F78</f>
        <v>4.33</v>
      </c>
      <c r="AZ154" s="10">
        <f>AS78</f>
        <v>3.0970432657168745</v>
      </c>
      <c r="BA154" s="10">
        <f t="shared" si="66"/>
        <v>-1.2329567342831256</v>
      </c>
      <c r="BB154" s="24">
        <f t="shared" si="67"/>
        <v>1.52018230861411</v>
      </c>
      <c r="BC154" s="10">
        <f t="shared" si="70"/>
        <v>-0.04566506423270836</v>
      </c>
    </row>
    <row r="155" spans="1:55" ht="12.75">
      <c r="A155" s="8" t="s">
        <v>11</v>
      </c>
      <c r="B155" s="26">
        <v>1.93</v>
      </c>
      <c r="C155" s="26">
        <v>1.21</v>
      </c>
      <c r="D155" s="26">
        <v>1.56</v>
      </c>
      <c r="E155" s="26">
        <v>5.13</v>
      </c>
      <c r="F155" s="25">
        <v>14.97</v>
      </c>
      <c r="G155" s="26"/>
      <c r="H155" s="10"/>
      <c r="I155" s="10">
        <v>0.01</v>
      </c>
      <c r="J155" s="10">
        <v>0.01</v>
      </c>
      <c r="K155" s="10">
        <v>0.01</v>
      </c>
      <c r="L155" s="10">
        <v>0.02</v>
      </c>
      <c r="M155" s="9">
        <v>0.04</v>
      </c>
      <c r="N155" s="10"/>
      <c r="O155" s="11">
        <f>SUM(B155:F155)</f>
        <v>24.799999999999997</v>
      </c>
      <c r="P155" s="11">
        <f>P154+$G$146-O155</f>
        <v>21.440000000000005</v>
      </c>
      <c r="Q155" s="11">
        <f>F155</f>
        <v>14.97</v>
      </c>
      <c r="R155" s="11">
        <f>20-AC157</f>
        <v>12.655575465254124</v>
      </c>
      <c r="S155" s="11">
        <f t="shared" si="77"/>
        <v>0.6327787732627062</v>
      </c>
      <c r="T155" s="11">
        <f t="shared" si="78"/>
        <v>1.1828778581503565</v>
      </c>
      <c r="U155" s="11">
        <f>AK157</f>
        <v>7.344424534745875</v>
      </c>
      <c r="V155" s="11">
        <f>(U155-Q155)^2</f>
        <v>58.14940117628567</v>
      </c>
      <c r="W155" s="11"/>
      <c r="X155" s="4">
        <v>6</v>
      </c>
      <c r="Y155" s="10">
        <f>(-AD148-SQRT(AD148^2-4*AD147*AD149))/(2*AD147)</f>
        <v>0.08891767929683439</v>
      </c>
      <c r="Z155" s="10">
        <f>Z154*Y155/Y154</f>
        <v>0.1979942871923003</v>
      </c>
      <c r="AA155" s="10">
        <f>AA154*Y155/Y154</f>
        <v>0.6885815866691377</v>
      </c>
      <c r="AB155" s="10">
        <f>AB154*Y155/Y154</f>
        <v>1.984842537914614</v>
      </c>
      <c r="AC155" s="10">
        <f>$G$146*Y155/Y154</f>
        <v>5.070102629771258</v>
      </c>
      <c r="AD155" s="10"/>
      <c r="AE155" s="11"/>
      <c r="AF155" s="4">
        <v>6</v>
      </c>
      <c r="AG155" s="10">
        <f t="shared" si="79"/>
        <v>0.08891767929683439</v>
      </c>
      <c r="AH155" s="10">
        <f>Z155-(Z155*(Z157-AH157)/Z157)</f>
        <v>0.1979942871923003</v>
      </c>
      <c r="AI155" s="10">
        <f>AA155-(AA155*(AA157-AI157)/AA157)</f>
        <v>0.6885815866691377</v>
      </c>
      <c r="AJ155" s="10">
        <f>AB155-(AB155*(AB157-AJ157)/AB157)</f>
        <v>1.984842537914614</v>
      </c>
      <c r="AK155" s="10">
        <f>AC155-(AC155*(AC157-AK157)/AC157)</f>
        <v>5.070102629771258</v>
      </c>
      <c r="AL155" s="10"/>
      <c r="AM155" s="11"/>
      <c r="AN155" s="8" t="s">
        <v>11</v>
      </c>
      <c r="AO155" s="10">
        <f>8*(AG154-AG155-AG156)</f>
        <v>1.775592302891306</v>
      </c>
      <c r="AP155" s="10">
        <f>4*(AH154-AH155-AH156)</f>
        <v>1.976868577403455</v>
      </c>
      <c r="AQ155" s="10">
        <f>2*(AI154-AI155-AI156)</f>
        <v>3.4375620654719774</v>
      </c>
      <c r="AR155" s="10">
        <f>AJ154-AJ155-AJ156</f>
        <v>4.95440158897892</v>
      </c>
      <c r="AS155" s="9">
        <f>$G$146-AK155-AK156</f>
        <v>12.655575465254124</v>
      </c>
      <c r="AT155" s="10"/>
      <c r="AU155" s="10">
        <f>AS155-F155</f>
        <v>-2.3144245347458767</v>
      </c>
      <c r="AV155" s="10">
        <f>AU155^2</f>
        <v>5.356560927033668</v>
      </c>
      <c r="AW155">
        <v>6</v>
      </c>
      <c r="AX155">
        <v>7</v>
      </c>
      <c r="AY155" s="10">
        <f>F79</f>
        <v>6.51</v>
      </c>
      <c r="AZ155" s="10">
        <f>AS79</f>
        <v>8.538336223150175</v>
      </c>
      <c r="BA155" s="10">
        <f t="shared" si="66"/>
        <v>2.028336223150175</v>
      </c>
      <c r="BB155" s="24">
        <f t="shared" si="67"/>
        <v>4.114147834143117</v>
      </c>
      <c r="BC155" s="10">
        <f t="shared" si="70"/>
        <v>0.07512356382037685</v>
      </c>
    </row>
    <row r="156" spans="1:55" ht="12.75">
      <c r="A156" s="8" t="s">
        <v>12</v>
      </c>
      <c r="B156" s="26">
        <v>0.29</v>
      </c>
      <c r="C156" s="26">
        <v>1.2</v>
      </c>
      <c r="D156" s="26">
        <v>1.53</v>
      </c>
      <c r="E156" s="26">
        <v>2.22</v>
      </c>
      <c r="F156" s="26">
        <v>2.04</v>
      </c>
      <c r="G156" s="25">
        <v>11.91</v>
      </c>
      <c r="H156" s="9"/>
      <c r="I156" s="10">
        <v>0.01</v>
      </c>
      <c r="J156" s="10">
        <v>0.02</v>
      </c>
      <c r="K156" s="10">
        <v>0.02</v>
      </c>
      <c r="L156" s="10">
        <v>0.02</v>
      </c>
      <c r="M156" s="10">
        <v>0.05</v>
      </c>
      <c r="N156" s="9">
        <v>0.23</v>
      </c>
      <c r="O156" s="11">
        <f>SUM(B156:G156)</f>
        <v>19.19</v>
      </c>
      <c r="P156" s="11">
        <f>P155+$G$146-O156</f>
        <v>22.250000000000004</v>
      </c>
      <c r="Q156" s="11">
        <f>G156</f>
        <v>11.91</v>
      </c>
      <c r="R156" s="11">
        <f>20-AD157</f>
        <v>11.028497562869942</v>
      </c>
      <c r="S156" s="11">
        <f t="shared" si="77"/>
        <v>0.5514248781434972</v>
      </c>
      <c r="T156" s="11">
        <f t="shared" si="78"/>
        <v>1.0799295128012583</v>
      </c>
      <c r="U156" s="11">
        <f>AL157</f>
        <v>8.971502437130058</v>
      </c>
      <c r="V156" s="11">
        <f>(U156-Q156)^2</f>
        <v>8.634767926992591</v>
      </c>
      <c r="W156" s="11"/>
      <c r="X156" s="4">
        <v>7</v>
      </c>
      <c r="Y156" s="10">
        <f>P151-Y151-Y152-Y153-Y154-Y155</f>
        <v>0.03988625882577493</v>
      </c>
      <c r="Z156" s="10">
        <f>Z154*Y156/Y154</f>
        <v>0.08881531150417754</v>
      </c>
      <c r="AA156" s="10">
        <f>AA154*Y156/Y154</f>
        <v>0.3088805691482525</v>
      </c>
      <c r="AB156" s="10">
        <f>AB154*Y156/Y154</f>
        <v>0.8903509833110183</v>
      </c>
      <c r="AC156" s="10">
        <f>$G$146*Y156/Y154</f>
        <v>2.2743219049746175</v>
      </c>
      <c r="AD156" s="10">
        <f>$G$146*Y156/Y155</f>
        <v>8.971502437130058</v>
      </c>
      <c r="AE156" s="11"/>
      <c r="AF156" s="4">
        <v>7</v>
      </c>
      <c r="AG156" s="10">
        <f t="shared" si="79"/>
        <v>0.03988625882577493</v>
      </c>
      <c r="AH156" s="10">
        <f>Z156-(Z156*(Z157-AH157)/Z157)</f>
        <v>0.08881531150417754</v>
      </c>
      <c r="AI156" s="10">
        <f>AA156-(AA156*(AA157-AI157)/AA157)</f>
        <v>0.3088805691482525</v>
      </c>
      <c r="AJ156" s="10">
        <f>AB156-(AB156*(AB157-AJ157)/AB157)</f>
        <v>0.8903509833110183</v>
      </c>
      <c r="AK156" s="10">
        <f>AC156-(AC156*(AC157-AK157)/AC157)</f>
        <v>2.2743219049746175</v>
      </c>
      <c r="AL156" s="10">
        <f>AD156-(AD156*(AD157-AL157)/AD157)</f>
        <v>8.971502437130058</v>
      </c>
      <c r="AM156" s="11"/>
      <c r="AN156" s="8" t="s">
        <v>12</v>
      </c>
      <c r="AO156" s="10">
        <f>16*(AG155-AG156)</f>
        <v>0.7845027275369514</v>
      </c>
      <c r="AP156" s="10">
        <f>8*(AH155-AH156)</f>
        <v>0.8734318055049821</v>
      </c>
      <c r="AQ156" s="10">
        <f>4*(AI155-AI156)</f>
        <v>1.5188040700835408</v>
      </c>
      <c r="AR156" s="10">
        <f>2*(AJ155-AJ156)</f>
        <v>2.188983109207191</v>
      </c>
      <c r="AS156" s="10">
        <f>AK155-AK156</f>
        <v>2.79578072479664</v>
      </c>
      <c r="AT156" s="9">
        <f>$G$146-AL156</f>
        <v>11.028497562869942</v>
      </c>
      <c r="AU156" s="10">
        <f>AT156-G156</f>
        <v>-0.8815024371300577</v>
      </c>
      <c r="AV156" s="10">
        <f>AU156^2</f>
        <v>0.7770465466662314</v>
      </c>
      <c r="AW156">
        <v>6</v>
      </c>
      <c r="AX156">
        <v>6</v>
      </c>
      <c r="AY156" s="10">
        <f>G78</f>
        <v>9.4</v>
      </c>
      <c r="AZ156" s="10">
        <f>AT78</f>
        <v>8.408781956119862</v>
      </c>
      <c r="BA156" s="10">
        <f t="shared" si="66"/>
        <v>-0.9912180438801386</v>
      </c>
      <c r="BB156" s="24">
        <f t="shared" si="67"/>
        <v>0.9825132105135683</v>
      </c>
      <c r="BC156" s="10">
        <f t="shared" si="70"/>
        <v>-0.036711779402968096</v>
      </c>
    </row>
    <row r="157" spans="1:55" ht="12.75">
      <c r="A157" s="12" t="s">
        <v>13</v>
      </c>
      <c r="B157" s="28">
        <v>2.81</v>
      </c>
      <c r="C157" s="28">
        <v>2.32</v>
      </c>
      <c r="D157" s="28">
        <v>2.22</v>
      </c>
      <c r="E157" s="28">
        <v>3.82</v>
      </c>
      <c r="F157" s="28">
        <v>2.99</v>
      </c>
      <c r="G157" s="28">
        <v>8.09</v>
      </c>
      <c r="H157" s="13"/>
      <c r="I157" s="13"/>
      <c r="J157" s="13"/>
      <c r="K157" s="13"/>
      <c r="L157" s="13"/>
      <c r="M157" s="13"/>
      <c r="N157" s="13"/>
      <c r="O157" s="14">
        <f>SUM(B157:G157)</f>
        <v>22.25</v>
      </c>
      <c r="P157" s="14"/>
      <c r="Q157" s="14"/>
      <c r="R157" s="14"/>
      <c r="S157" s="14"/>
      <c r="T157" s="14"/>
      <c r="U157" s="14"/>
      <c r="V157" s="14"/>
      <c r="W157" s="22"/>
      <c r="X157" s="16" t="s">
        <v>18</v>
      </c>
      <c r="Y157" s="10">
        <f aca="true" t="shared" si="80" ref="Y157:AD157">SUM(Y151:Y156)</f>
        <v>12.94</v>
      </c>
      <c r="Z157" s="10">
        <f t="shared" si="80"/>
        <v>8.813685833111698</v>
      </c>
      <c r="AA157" s="10">
        <f t="shared" si="80"/>
        <v>10.65210547955328</v>
      </c>
      <c r="AB157" s="10">
        <f t="shared" si="80"/>
        <v>10.704788631430183</v>
      </c>
      <c r="AC157" s="10">
        <f t="shared" si="80"/>
        <v>7.344424534745875</v>
      </c>
      <c r="AD157" s="10">
        <f t="shared" si="80"/>
        <v>8.971502437130058</v>
      </c>
      <c r="AE157" s="22"/>
      <c r="AF157" s="16" t="s">
        <v>18</v>
      </c>
      <c r="AG157" s="10">
        <f t="shared" si="79"/>
        <v>12.94</v>
      </c>
      <c r="AH157" s="10">
        <f>Z157*(V146*(Z157/$G$146)^2-V146*(Z157/$G$146)+1)</f>
        <v>8.813685833111698</v>
      </c>
      <c r="AI157" s="10">
        <f>AA157*(V146*(AA157/$G$146)^2-V146*(AA157/$G$146)+1)</f>
        <v>10.65210547955328</v>
      </c>
      <c r="AJ157" s="10">
        <f>AB157*(V146*(AB157/$G$146)^2-V146*(AB157/$G$146)+1)</f>
        <v>10.704788631430183</v>
      </c>
      <c r="AK157" s="10">
        <f>AC157*(V146*(AC157/$G$146)^2-V146*(AC157/$G$146)+1)</f>
        <v>7.344424534745875</v>
      </c>
      <c r="AL157" s="10">
        <f>AD157*(V146*(AD157/$G$146)^2-V146*(AD157/$G$146)+1)</f>
        <v>8.971502437130058</v>
      </c>
      <c r="AM157" s="22"/>
      <c r="AN157" s="12" t="s">
        <v>13</v>
      </c>
      <c r="AO157" s="13">
        <f>32*AG156</f>
        <v>1.2763602824247977</v>
      </c>
      <c r="AP157" s="13">
        <f>16*AH156</f>
        <v>1.4210449840668407</v>
      </c>
      <c r="AQ157" s="13">
        <f>8*AI156</f>
        <v>2.47104455318602</v>
      </c>
      <c r="AR157" s="13">
        <f>4*AJ156</f>
        <v>3.561403933244073</v>
      </c>
      <c r="AS157" s="13">
        <f>2*AK156</f>
        <v>4.548643809949235</v>
      </c>
      <c r="AT157" s="13">
        <f>AL156</f>
        <v>8.971502437130058</v>
      </c>
      <c r="AW157">
        <v>6</v>
      </c>
      <c r="AX157">
        <v>7</v>
      </c>
      <c r="AY157" s="10">
        <f>G79</f>
        <v>10.6</v>
      </c>
      <c r="AZ157" s="10">
        <f>AT79</f>
        <v>11.591218043880138</v>
      </c>
      <c r="BA157" s="10">
        <f t="shared" si="66"/>
        <v>0.9912180438801386</v>
      </c>
      <c r="BB157" s="24">
        <f t="shared" si="67"/>
        <v>0.9825132105135683</v>
      </c>
      <c r="BC157" s="10">
        <f t="shared" si="70"/>
        <v>0.036711779402968096</v>
      </c>
    </row>
    <row r="158" spans="49:57" ht="12.75">
      <c r="AW158">
        <v>7</v>
      </c>
      <c r="AX158">
        <v>2</v>
      </c>
      <c r="AY158" s="10">
        <f aca="true" t="shared" si="81" ref="AY158:AY163">B87</f>
        <v>1.87</v>
      </c>
      <c r="AZ158" s="10">
        <f aca="true" t="shared" si="82" ref="AZ158:AZ163">AO87</f>
        <v>2.0953350366043906</v>
      </c>
      <c r="BA158" s="10">
        <f aca="true" t="shared" si="83" ref="BA158:BA221">AZ158-AY158</f>
        <v>0.22533503660439047</v>
      </c>
      <c r="BB158" s="24">
        <f t="shared" si="67"/>
        <v>0.050775878721501994</v>
      </c>
      <c r="BC158" s="10">
        <f aca="true" t="shared" si="84" ref="BC158:BC221">BA158/27</f>
        <v>0.008345742096458907</v>
      </c>
      <c r="BD158" s="10"/>
      <c r="BE158" s="10"/>
    </row>
    <row r="159" spans="49:57" ht="12.75">
      <c r="AW159">
        <v>7</v>
      </c>
      <c r="AX159">
        <v>3</v>
      </c>
      <c r="AY159" s="10">
        <f t="shared" si="81"/>
        <v>0.97</v>
      </c>
      <c r="AZ159" s="10">
        <f t="shared" si="82"/>
        <v>1.2712755504604614</v>
      </c>
      <c r="BA159" s="10">
        <f t="shared" si="83"/>
        <v>0.3012755504604614</v>
      </c>
      <c r="BB159" s="24">
        <f t="shared" si="67"/>
        <v>0.09076695730525403</v>
      </c>
      <c r="BC159" s="10">
        <f t="shared" si="84"/>
        <v>0.01115835372075783</v>
      </c>
      <c r="BD159" s="10"/>
      <c r="BE159" s="10"/>
    </row>
    <row r="160" spans="49:57" ht="12.75">
      <c r="AW160">
        <v>7</v>
      </c>
      <c r="AX160">
        <v>4</v>
      </c>
      <c r="AY160" s="10">
        <f t="shared" si="81"/>
        <v>1.21</v>
      </c>
      <c r="AZ160" s="10">
        <f t="shared" si="82"/>
        <v>1.1521439461350012</v>
      </c>
      <c r="BA160" s="10">
        <f t="shared" si="83"/>
        <v>-0.05785605386499881</v>
      </c>
      <c r="BB160" s="24">
        <f t="shared" si="67"/>
        <v>0.003347322968829644</v>
      </c>
      <c r="BC160" s="10">
        <f t="shared" si="84"/>
        <v>-0.002142816809814771</v>
      </c>
      <c r="BD160" s="10"/>
      <c r="BE160" s="10"/>
    </row>
    <row r="161" spans="49:57" ht="12.75">
      <c r="AW161">
        <v>7</v>
      </c>
      <c r="AX161">
        <v>5</v>
      </c>
      <c r="AY161" s="10">
        <f t="shared" si="81"/>
        <v>1.16</v>
      </c>
      <c r="AZ161" s="10">
        <f t="shared" si="82"/>
        <v>1.0461984999542553</v>
      </c>
      <c r="BA161" s="10">
        <f t="shared" si="83"/>
        <v>-0.11380150004574463</v>
      </c>
      <c r="BB161" s="24">
        <f t="shared" si="67"/>
        <v>0.012950781412661615</v>
      </c>
      <c r="BC161" s="10">
        <f t="shared" si="84"/>
        <v>-0.004214870372064616</v>
      </c>
      <c r="BE161" s="10"/>
    </row>
    <row r="162" spans="49:55" ht="12.75">
      <c r="AW162">
        <v>7</v>
      </c>
      <c r="AX162">
        <v>6</v>
      </c>
      <c r="AY162" s="10">
        <f t="shared" si="81"/>
        <v>0.07</v>
      </c>
      <c r="AZ162" s="10">
        <f t="shared" si="82"/>
        <v>0.6907011607052134</v>
      </c>
      <c r="BA162" s="10">
        <f t="shared" si="83"/>
        <v>0.6207011607052133</v>
      </c>
      <c r="BB162" s="24">
        <f t="shared" si="67"/>
        <v>0.38526993090079903</v>
      </c>
      <c r="BC162" s="10">
        <f t="shared" si="84"/>
        <v>0.022988931877970863</v>
      </c>
    </row>
    <row r="163" spans="49:55" ht="12.75">
      <c r="AW163">
        <v>7</v>
      </c>
      <c r="AX163">
        <v>7</v>
      </c>
      <c r="AY163" s="10">
        <f t="shared" si="81"/>
        <v>2.84</v>
      </c>
      <c r="AZ163" s="10">
        <f t="shared" si="82"/>
        <v>1.864345806140677</v>
      </c>
      <c r="BA163" s="10">
        <f t="shared" si="83"/>
        <v>-0.9756541938593228</v>
      </c>
      <c r="BB163" s="24">
        <f t="shared" si="67"/>
        <v>0.9519011059952851</v>
      </c>
      <c r="BC163" s="10">
        <f t="shared" si="84"/>
        <v>-0.03613534051330825</v>
      </c>
    </row>
    <row r="164" spans="49:55" ht="12.75">
      <c r="AW164">
        <v>7</v>
      </c>
      <c r="AX164">
        <v>2</v>
      </c>
      <c r="AY164" s="10">
        <f aca="true" t="shared" si="85" ref="AY164:AY169">C87</f>
        <v>8.43</v>
      </c>
      <c r="AZ164" s="10">
        <f aca="true" t="shared" si="86" ref="AZ164:AZ169">AP87</f>
        <v>8.204664963395608</v>
      </c>
      <c r="BA164" s="10">
        <f t="shared" si="83"/>
        <v>-0.2253350366043918</v>
      </c>
      <c r="BB164" s="24">
        <f t="shared" si="67"/>
        <v>0.05077587872150259</v>
      </c>
      <c r="BC164" s="10">
        <f t="shared" si="84"/>
        <v>-0.008345742096458955</v>
      </c>
    </row>
    <row r="165" spans="49:55" ht="12.75">
      <c r="AW165">
        <v>7</v>
      </c>
      <c r="AX165">
        <v>3</v>
      </c>
      <c r="AY165" s="10">
        <f t="shared" si="85"/>
        <v>2.82</v>
      </c>
      <c r="AZ165" s="10">
        <f t="shared" si="86"/>
        <v>2.4889551755378103</v>
      </c>
      <c r="BA165" s="10">
        <f t="shared" si="83"/>
        <v>-0.3310448244621895</v>
      </c>
      <c r="BB165" s="24">
        <f t="shared" si="67"/>
        <v>0.10959067580320188</v>
      </c>
      <c r="BC165" s="10">
        <f t="shared" si="84"/>
        <v>-0.012260919424525538</v>
      </c>
    </row>
    <row r="166" spans="49:55" ht="12.75">
      <c r="AW166">
        <v>7</v>
      </c>
      <c r="AX166">
        <v>4</v>
      </c>
      <c r="AY166" s="10">
        <f t="shared" si="85"/>
        <v>2</v>
      </c>
      <c r="AZ166" s="10">
        <f t="shared" si="86"/>
        <v>2.255714456758488</v>
      </c>
      <c r="BA166" s="10">
        <f t="shared" si="83"/>
        <v>0.25571445675848814</v>
      </c>
      <c r="BB166" s="24">
        <f t="shared" si="67"/>
        <v>0.0653898833952887</v>
      </c>
      <c r="BC166" s="10">
        <f t="shared" si="84"/>
        <v>0.009470905805869931</v>
      </c>
    </row>
    <row r="167" spans="49:55" ht="12.75">
      <c r="AW167">
        <v>7</v>
      </c>
      <c r="AX167">
        <v>5</v>
      </c>
      <c r="AY167" s="10">
        <f t="shared" si="85"/>
        <v>1.73</v>
      </c>
      <c r="AZ167" s="10">
        <f t="shared" si="86"/>
        <v>2.0482901367511386</v>
      </c>
      <c r="BA167" s="10">
        <f t="shared" si="83"/>
        <v>0.3182901367511386</v>
      </c>
      <c r="BB167" s="24">
        <f t="shared" si="67"/>
        <v>0.1013086111530585</v>
      </c>
      <c r="BC167" s="10">
        <f t="shared" si="84"/>
        <v>0.011788523583375503</v>
      </c>
    </row>
    <row r="168" spans="49:55" ht="12.75">
      <c r="AW168">
        <v>7</v>
      </c>
      <c r="AX168">
        <v>6</v>
      </c>
      <c r="AY168" s="10">
        <f t="shared" si="85"/>
        <v>1.41</v>
      </c>
      <c r="AZ168" s="10">
        <f t="shared" si="86"/>
        <v>1.3522829319454304</v>
      </c>
      <c r="BA168" s="10">
        <f t="shared" si="83"/>
        <v>-0.057717068054569554</v>
      </c>
      <c r="BB168" s="24">
        <f t="shared" si="67"/>
        <v>0.0033312599448158133</v>
      </c>
      <c r="BC168" s="10">
        <f t="shared" si="84"/>
        <v>-0.0021376691872062796</v>
      </c>
    </row>
    <row r="169" spans="49:55" ht="12.75">
      <c r="AW169">
        <v>7</v>
      </c>
      <c r="AX169">
        <v>7</v>
      </c>
      <c r="AY169" s="10">
        <f t="shared" si="85"/>
        <v>3.61</v>
      </c>
      <c r="AZ169" s="10">
        <f t="shared" si="86"/>
        <v>3.6500923356115234</v>
      </c>
      <c r="BA169" s="10">
        <f t="shared" si="83"/>
        <v>0.04009233561152348</v>
      </c>
      <c r="BB169" s="24">
        <f t="shared" si="67"/>
        <v>0.0016073953747870336</v>
      </c>
      <c r="BC169" s="10">
        <f t="shared" si="84"/>
        <v>0.001484901318945314</v>
      </c>
    </row>
    <row r="170" spans="49:55" ht="12.75">
      <c r="AW170">
        <v>7</v>
      </c>
      <c r="AX170">
        <v>3</v>
      </c>
      <c r="AY170" s="10">
        <f>D88</f>
        <v>6.94</v>
      </c>
      <c r="AZ170" s="10">
        <f>AQ88</f>
        <v>6.9697692740017345</v>
      </c>
      <c r="BA170" s="10">
        <f t="shared" si="83"/>
        <v>0.029769274001734125</v>
      </c>
      <c r="BB170" s="24">
        <f t="shared" si="67"/>
        <v>0.0008862096745903233</v>
      </c>
      <c r="BC170" s="10">
        <f t="shared" si="84"/>
        <v>0.0011025657037679307</v>
      </c>
    </row>
    <row r="171" spans="49:55" ht="12.75">
      <c r="AW171">
        <v>7</v>
      </c>
      <c r="AX171">
        <v>4</v>
      </c>
      <c r="AY171" s="10">
        <f>D89</f>
        <v>4.62</v>
      </c>
      <c r="AZ171" s="10">
        <f>AQ89</f>
        <v>3.1583150765741834</v>
      </c>
      <c r="BA171" s="10">
        <f t="shared" si="83"/>
        <v>-1.4616849234258167</v>
      </c>
      <c r="BB171" s="24">
        <f t="shared" si="67"/>
        <v>2.1365228153703355</v>
      </c>
      <c r="BC171" s="10">
        <f t="shared" si="84"/>
        <v>-0.05413647864540062</v>
      </c>
    </row>
    <row r="172" spans="49:55" ht="12.75">
      <c r="AW172">
        <v>7</v>
      </c>
      <c r="AX172">
        <v>5</v>
      </c>
      <c r="AY172" s="10">
        <f>D90</f>
        <v>2.02</v>
      </c>
      <c r="AZ172" s="10">
        <f>AQ90</f>
        <v>2.867892077703676</v>
      </c>
      <c r="BA172" s="10">
        <f t="shared" si="83"/>
        <v>0.8478920777036758</v>
      </c>
      <c r="BB172" s="24">
        <f t="shared" si="67"/>
        <v>0.7189209754326562</v>
      </c>
      <c r="BC172" s="10">
        <f t="shared" si="84"/>
        <v>0.03140341028532133</v>
      </c>
    </row>
    <row r="173" spans="49:55" ht="12.75">
      <c r="AW173">
        <v>7</v>
      </c>
      <c r="AX173">
        <v>6</v>
      </c>
      <c r="AY173" s="10">
        <f>D91</f>
        <v>2.02</v>
      </c>
      <c r="AZ173" s="10">
        <f>AQ91</f>
        <v>1.8933848470761774</v>
      </c>
      <c r="BA173" s="10">
        <f t="shared" si="83"/>
        <v>-0.12661515292382264</v>
      </c>
      <c r="BB173" s="24">
        <f t="shared" si="67"/>
        <v>0.01603139694992299</v>
      </c>
      <c r="BC173" s="10">
        <f t="shared" si="84"/>
        <v>-0.004689450108289727</v>
      </c>
    </row>
    <row r="174" spans="49:55" ht="12.75">
      <c r="AW174">
        <v>7</v>
      </c>
      <c r="AX174">
        <v>7</v>
      </c>
      <c r="AY174" s="10">
        <f>D92</f>
        <v>4.4</v>
      </c>
      <c r="AZ174" s="10">
        <f>AQ92</f>
        <v>5.110638724644229</v>
      </c>
      <c r="BA174" s="10">
        <f t="shared" si="83"/>
        <v>0.7106387246442285</v>
      </c>
      <c r="BB174" s="24">
        <f t="shared" si="67"/>
        <v>0.5050073969639757</v>
      </c>
      <c r="BC174" s="10">
        <f t="shared" si="84"/>
        <v>0.026319952764601057</v>
      </c>
    </row>
    <row r="175" spans="49:55" ht="12.75">
      <c r="AW175">
        <v>7</v>
      </c>
      <c r="AX175">
        <v>4</v>
      </c>
      <c r="AY175" s="10">
        <f>E89</f>
        <v>6.54</v>
      </c>
      <c r="AZ175" s="10">
        <f>AR89</f>
        <v>7.803826520532338</v>
      </c>
      <c r="BA175" s="10">
        <f t="shared" si="83"/>
        <v>1.263826520532338</v>
      </c>
      <c r="BB175" s="24">
        <f t="shared" si="67"/>
        <v>1.5972574740008763</v>
      </c>
      <c r="BC175" s="10">
        <f t="shared" si="84"/>
        <v>0.046808389649345854</v>
      </c>
    </row>
    <row r="176" spans="49:55" ht="12.75">
      <c r="AW176">
        <v>7</v>
      </c>
      <c r="AX176">
        <v>5</v>
      </c>
      <c r="AY176" s="10">
        <f>E90</f>
        <v>4.68</v>
      </c>
      <c r="AZ176" s="10">
        <f>AR90</f>
        <v>3.543112658393259</v>
      </c>
      <c r="BA176" s="10">
        <f t="shared" si="83"/>
        <v>-1.1368873416067409</v>
      </c>
      <c r="BB176" s="24">
        <f t="shared" si="67"/>
        <v>1.2925128275056423</v>
      </c>
      <c r="BC176" s="10">
        <f t="shared" si="84"/>
        <v>-0.04210693857802744</v>
      </c>
    </row>
    <row r="177" spans="49:55" ht="12.75">
      <c r="AW177">
        <v>7</v>
      </c>
      <c r="AX177">
        <v>6</v>
      </c>
      <c r="AY177" s="10">
        <f>E91</f>
        <v>2.65</v>
      </c>
      <c r="AZ177" s="10">
        <f>AR91</f>
        <v>2.3391660624332404</v>
      </c>
      <c r="BA177" s="10">
        <f t="shared" si="83"/>
        <v>-0.3108339375667595</v>
      </c>
      <c r="BB177" s="24">
        <f t="shared" si="67"/>
        <v>0.09661773674325613</v>
      </c>
      <c r="BC177" s="10">
        <f t="shared" si="84"/>
        <v>-0.01151236805802813</v>
      </c>
    </row>
    <row r="178" spans="49:55" ht="12.75">
      <c r="AW178">
        <v>7</v>
      </c>
      <c r="AX178">
        <v>7</v>
      </c>
      <c r="AY178" s="10">
        <f>E92</f>
        <v>6.13</v>
      </c>
      <c r="AZ178" s="10">
        <f>AR92</f>
        <v>6.313894758641162</v>
      </c>
      <c r="BA178" s="10">
        <f t="shared" si="83"/>
        <v>0.1838947586411619</v>
      </c>
      <c r="BB178" s="24">
        <f t="shared" si="67"/>
        <v>0.03381728225569119</v>
      </c>
      <c r="BC178" s="10">
        <f t="shared" si="84"/>
        <v>0.006810916986709699</v>
      </c>
    </row>
    <row r="179" spans="49:55" ht="12.75">
      <c r="AW179">
        <v>7</v>
      </c>
      <c r="AX179">
        <v>5</v>
      </c>
      <c r="AY179" s="10">
        <f>F90</f>
        <v>8.92</v>
      </c>
      <c r="AZ179" s="10">
        <f>AS90</f>
        <v>9.004506627197753</v>
      </c>
      <c r="BA179" s="10">
        <f t="shared" si="83"/>
        <v>0.08450662719775259</v>
      </c>
      <c r="BB179" s="24">
        <f t="shared" si="67"/>
        <v>0.007141370040339938</v>
      </c>
      <c r="BC179" s="10">
        <f t="shared" si="84"/>
        <v>0.0031298750813982443</v>
      </c>
    </row>
    <row r="180" spans="49:55" ht="12.75">
      <c r="AW180">
        <v>7</v>
      </c>
      <c r="AX180">
        <v>6</v>
      </c>
      <c r="AY180" s="10">
        <f>F91</f>
        <v>4.11</v>
      </c>
      <c r="AZ180" s="10">
        <f>AS91</f>
        <v>2.9723915582249525</v>
      </c>
      <c r="BA180" s="10">
        <f t="shared" si="83"/>
        <v>-1.1376084417750478</v>
      </c>
      <c r="BB180" s="24">
        <f t="shared" si="67"/>
        <v>1.2941529667978524</v>
      </c>
      <c r="BC180" s="10">
        <f t="shared" si="84"/>
        <v>-0.04213364599166844</v>
      </c>
    </row>
    <row r="181" spans="49:55" ht="12.75">
      <c r="AW181">
        <v>7</v>
      </c>
      <c r="AX181">
        <v>7</v>
      </c>
      <c r="AY181" s="10">
        <f>F92</f>
        <v>6.97</v>
      </c>
      <c r="AZ181" s="10">
        <f>AS92</f>
        <v>8.023101814577295</v>
      </c>
      <c r="BA181" s="10">
        <f t="shared" si="83"/>
        <v>1.0531018145772952</v>
      </c>
      <c r="BB181" s="24">
        <f t="shared" si="67"/>
        <v>1.109023431865992</v>
      </c>
      <c r="BC181" s="10">
        <f t="shared" si="84"/>
        <v>0.03900377091027019</v>
      </c>
    </row>
    <row r="182" spans="49:55" ht="12.75">
      <c r="AW182">
        <v>7</v>
      </c>
      <c r="AX182">
        <v>6</v>
      </c>
      <c r="AY182" s="10">
        <f>G91</f>
        <v>7.5</v>
      </c>
      <c r="AZ182" s="10">
        <f>AT91</f>
        <v>8.512073439615206</v>
      </c>
      <c r="BA182" s="10">
        <f t="shared" si="83"/>
        <v>1.0120734396152056</v>
      </c>
      <c r="BB182" s="24">
        <f t="shared" si="67"/>
        <v>1.0242926471745533</v>
      </c>
      <c r="BC182" s="10">
        <f t="shared" si="84"/>
        <v>0.03748420146722983</v>
      </c>
    </row>
    <row r="183" spans="49:55" ht="12.75">
      <c r="AW183">
        <v>7</v>
      </c>
      <c r="AX183">
        <v>7</v>
      </c>
      <c r="AY183" s="10">
        <f>G92</f>
        <v>12.5</v>
      </c>
      <c r="AZ183" s="10">
        <f>AT92</f>
        <v>11.487926560384794</v>
      </c>
      <c r="BA183" s="10">
        <f t="shared" si="83"/>
        <v>-1.0120734396152056</v>
      </c>
      <c r="BB183" s="24">
        <f t="shared" si="67"/>
        <v>1.0242926471745533</v>
      </c>
      <c r="BC183" s="10">
        <f t="shared" si="84"/>
        <v>-0.03748420146722983</v>
      </c>
    </row>
    <row r="184" spans="49:57" ht="12.75">
      <c r="AW184">
        <v>8</v>
      </c>
      <c r="AX184">
        <v>2</v>
      </c>
      <c r="AY184" s="10">
        <f aca="true" t="shared" si="87" ref="AY184:AY189">B100</f>
        <v>3.29</v>
      </c>
      <c r="AZ184" s="10">
        <f aca="true" t="shared" si="88" ref="AZ184:AZ189">AO100</f>
        <v>3.0450259335944545</v>
      </c>
      <c r="BA184" s="10">
        <f t="shared" si="83"/>
        <v>-0.24497406640554553</v>
      </c>
      <c r="BB184" s="24">
        <f t="shared" si="67"/>
        <v>0.06001229321126863</v>
      </c>
      <c r="BC184" s="10">
        <f t="shared" si="84"/>
        <v>-0.009073113570575761</v>
      </c>
      <c r="BD184" s="10"/>
      <c r="BE184" s="10"/>
    </row>
    <row r="185" spans="49:57" ht="12.75">
      <c r="AW185">
        <v>8</v>
      </c>
      <c r="AX185">
        <v>3</v>
      </c>
      <c r="AY185" s="10">
        <f t="shared" si="87"/>
        <v>0.88</v>
      </c>
      <c r="AZ185" s="10">
        <f t="shared" si="88"/>
        <v>1.2318392727802676</v>
      </c>
      <c r="BA185" s="10">
        <f t="shared" si="83"/>
        <v>0.3518392727802676</v>
      </c>
      <c r="BB185" s="24">
        <f t="shared" si="67"/>
        <v>0.12379087387054756</v>
      </c>
      <c r="BC185" s="10">
        <f t="shared" si="84"/>
        <v>0.013031084177046948</v>
      </c>
      <c r="BD185" s="10"/>
      <c r="BE185" s="10"/>
    </row>
    <row r="186" spans="49:57" ht="12.75">
      <c r="AW186">
        <v>8</v>
      </c>
      <c r="AX186">
        <v>4</v>
      </c>
      <c r="AY186" s="10">
        <f t="shared" si="87"/>
        <v>1.31</v>
      </c>
      <c r="AZ186" s="10">
        <f t="shared" si="88"/>
        <v>1.0865456381365872</v>
      </c>
      <c r="BA186" s="10">
        <f t="shared" si="83"/>
        <v>-0.22345436186341283</v>
      </c>
      <c r="BB186" s="24">
        <f t="shared" si="67"/>
        <v>0.049931851835785045</v>
      </c>
      <c r="BC186" s="10">
        <f t="shared" si="84"/>
        <v>-0.008276087476422698</v>
      </c>
      <c r="BD186" s="10"/>
      <c r="BE186" s="10"/>
    </row>
    <row r="187" spans="49:57" ht="12.75">
      <c r="AW187">
        <v>8</v>
      </c>
      <c r="AX187">
        <v>5</v>
      </c>
      <c r="AY187" s="10">
        <f t="shared" si="87"/>
        <v>1.07</v>
      </c>
      <c r="AZ187" s="10">
        <f t="shared" si="88"/>
        <v>1.2084678338500021</v>
      </c>
      <c r="BA187" s="10">
        <f t="shared" si="83"/>
        <v>0.13846783385000205</v>
      </c>
      <c r="BB187" s="24">
        <f t="shared" si="67"/>
        <v>0.019173341011111775</v>
      </c>
      <c r="BC187" s="10">
        <f t="shared" si="84"/>
        <v>0.005128438290740817</v>
      </c>
      <c r="BE187" s="10"/>
    </row>
    <row r="188" spans="49:55" ht="12.75">
      <c r="AW188">
        <v>8</v>
      </c>
      <c r="AX188">
        <v>6</v>
      </c>
      <c r="AY188" s="10">
        <f t="shared" si="87"/>
        <v>0.04</v>
      </c>
      <c r="AZ188" s="10">
        <f t="shared" si="88"/>
        <v>0.7351729679075976</v>
      </c>
      <c r="BA188" s="10">
        <f t="shared" si="83"/>
        <v>0.6951729679075975</v>
      </c>
      <c r="BB188" s="24">
        <f t="shared" si="67"/>
        <v>0.48326545530945764</v>
      </c>
      <c r="BC188" s="10">
        <f t="shared" si="84"/>
        <v>0.02574714695954065</v>
      </c>
    </row>
    <row r="189" spans="49:55" ht="12.75">
      <c r="AW189">
        <v>8</v>
      </c>
      <c r="AX189">
        <v>7</v>
      </c>
      <c r="AY189" s="10">
        <f t="shared" si="87"/>
        <v>3.22</v>
      </c>
      <c r="AZ189" s="10">
        <f t="shared" si="88"/>
        <v>2.502948353731092</v>
      </c>
      <c r="BA189" s="10">
        <f t="shared" si="83"/>
        <v>-0.7170516462689083</v>
      </c>
      <c r="BB189" s="24">
        <f t="shared" si="67"/>
        <v>0.5141630634169515</v>
      </c>
      <c r="BC189" s="10">
        <f t="shared" si="84"/>
        <v>-0.026557468380329935</v>
      </c>
    </row>
    <row r="190" spans="49:55" ht="12.75">
      <c r="AW190">
        <v>8</v>
      </c>
      <c r="AX190">
        <v>2</v>
      </c>
      <c r="AY190" s="10">
        <f aca="true" t="shared" si="89" ref="AY190:AY195">C100</f>
        <v>9.23</v>
      </c>
      <c r="AZ190" s="10">
        <f aca="true" t="shared" si="90" ref="AZ190:AZ195">AP100</f>
        <v>9.474974066405544</v>
      </c>
      <c r="BA190" s="10">
        <f t="shared" si="83"/>
        <v>0.2449740664055433</v>
      </c>
      <c r="BB190" s="24">
        <f t="shared" si="67"/>
        <v>0.060012293211267546</v>
      </c>
      <c r="BC190" s="10">
        <f t="shared" si="84"/>
        <v>0.009073113570575678</v>
      </c>
    </row>
    <row r="191" spans="49:55" ht="12.75">
      <c r="AW191">
        <v>8</v>
      </c>
      <c r="AX191">
        <v>3</v>
      </c>
      <c r="AY191" s="10">
        <f t="shared" si="89"/>
        <v>2.34</v>
      </c>
      <c r="AZ191" s="10">
        <f t="shared" si="90"/>
        <v>1.9165099769438236</v>
      </c>
      <c r="BA191" s="10">
        <f t="shared" si="83"/>
        <v>-0.4234900230561762</v>
      </c>
      <c r="BB191" s="24">
        <f t="shared" si="67"/>
        <v>0.17934379962812066</v>
      </c>
      <c r="BC191" s="10">
        <f t="shared" si="84"/>
        <v>-0.015684815668747267</v>
      </c>
    </row>
    <row r="192" spans="49:55" ht="12.75">
      <c r="AW192">
        <v>8</v>
      </c>
      <c r="AX192">
        <v>4</v>
      </c>
      <c r="AY192" s="10">
        <f t="shared" si="89"/>
        <v>1.75</v>
      </c>
      <c r="AZ192" s="10">
        <f t="shared" si="90"/>
        <v>1.6904604374186176</v>
      </c>
      <c r="BA192" s="10">
        <f t="shared" si="83"/>
        <v>-0.05953956258138238</v>
      </c>
      <c r="BB192" s="24">
        <f t="shared" si="67"/>
        <v>0.0035449595123823487</v>
      </c>
      <c r="BC192" s="10">
        <f t="shared" si="84"/>
        <v>-0.0022051689844956434</v>
      </c>
    </row>
    <row r="193" spans="49:55" ht="12.75">
      <c r="AW193">
        <v>8</v>
      </c>
      <c r="AX193">
        <v>5</v>
      </c>
      <c r="AY193" s="10">
        <f t="shared" si="89"/>
        <v>1.73</v>
      </c>
      <c r="AZ193" s="10">
        <f t="shared" si="90"/>
        <v>1.8801484183581054</v>
      </c>
      <c r="BA193" s="10">
        <f t="shared" si="83"/>
        <v>0.15014841835810544</v>
      </c>
      <c r="BB193" s="24">
        <f t="shared" si="67"/>
        <v>0.022544547535440655</v>
      </c>
      <c r="BC193" s="10">
        <f t="shared" si="84"/>
        <v>0.005561052531781683</v>
      </c>
    </row>
    <row r="194" spans="49:55" ht="12.75">
      <c r="AW194">
        <v>8</v>
      </c>
      <c r="AX194">
        <v>6</v>
      </c>
      <c r="AY194" s="10">
        <f t="shared" si="89"/>
        <v>1.35</v>
      </c>
      <c r="AZ194" s="10">
        <f t="shared" si="90"/>
        <v>1.1437907192179924</v>
      </c>
      <c r="BA194" s="10">
        <f t="shared" si="83"/>
        <v>-0.20620928078200773</v>
      </c>
      <c r="BB194" s="24">
        <f t="shared" si="67"/>
        <v>0.042522267480632904</v>
      </c>
      <c r="BC194" s="10">
        <f t="shared" si="84"/>
        <v>-0.00763738076970399</v>
      </c>
    </row>
    <row r="195" spans="49:55" ht="12.75">
      <c r="AW195">
        <v>8</v>
      </c>
      <c r="AX195">
        <v>7</v>
      </c>
      <c r="AY195" s="10">
        <f t="shared" si="89"/>
        <v>3.6</v>
      </c>
      <c r="AZ195" s="10">
        <f t="shared" si="90"/>
        <v>3.894116381655919</v>
      </c>
      <c r="BA195" s="10">
        <f t="shared" si="83"/>
        <v>0.2941163816559187</v>
      </c>
      <c r="BB195" s="24">
        <f aca="true" t="shared" si="91" ref="BB195:BB258">BA195^2</f>
        <v>0.08650444595837002</v>
      </c>
      <c r="BC195" s="10">
        <f t="shared" si="84"/>
        <v>0.010893199320589582</v>
      </c>
    </row>
    <row r="196" spans="49:55" ht="12.75">
      <c r="AW196">
        <v>8</v>
      </c>
      <c r="AX196">
        <v>3</v>
      </c>
      <c r="AY196" s="10">
        <f>D101</f>
        <v>6.09</v>
      </c>
      <c r="AZ196" s="10">
        <f>AQ101</f>
        <v>6.161650750275914</v>
      </c>
      <c r="BA196" s="10">
        <f t="shared" si="83"/>
        <v>0.07165075027591428</v>
      </c>
      <c r="BB196" s="24">
        <f t="shared" si="91"/>
        <v>0.0051338300151014295</v>
      </c>
      <c r="BC196" s="10">
        <f t="shared" si="84"/>
        <v>0.0026537314917005287</v>
      </c>
    </row>
    <row r="197" spans="49:55" ht="12.75">
      <c r="AW197">
        <v>8</v>
      </c>
      <c r="AX197">
        <v>4</v>
      </c>
      <c r="AY197" s="10">
        <f>D102</f>
        <v>3.77</v>
      </c>
      <c r="AZ197" s="10">
        <f>AQ102</f>
        <v>2.7174465428930787</v>
      </c>
      <c r="BA197" s="10">
        <f t="shared" si="83"/>
        <v>-1.0525534571069213</v>
      </c>
      <c r="BB197" s="24">
        <f t="shared" si="91"/>
        <v>1.1078687800677316</v>
      </c>
      <c r="BC197" s="10">
        <f t="shared" si="84"/>
        <v>-0.03898346137433042</v>
      </c>
    </row>
    <row r="198" spans="49:55" ht="12.75">
      <c r="AW198">
        <v>8</v>
      </c>
      <c r="AX198">
        <v>5</v>
      </c>
      <c r="AY198" s="10">
        <f>D103</f>
        <v>2.21</v>
      </c>
      <c r="AZ198" s="10">
        <f>AQ103</f>
        <v>3.0223734945226095</v>
      </c>
      <c r="BA198" s="10">
        <f t="shared" si="83"/>
        <v>0.8123734945226095</v>
      </c>
      <c r="BB198" s="24">
        <f t="shared" si="91"/>
        <v>0.6599506946028764</v>
      </c>
      <c r="BC198" s="10">
        <f t="shared" si="84"/>
        <v>0.030087907204541093</v>
      </c>
    </row>
    <row r="199" spans="49:55" ht="12.75">
      <c r="AW199">
        <v>8</v>
      </c>
      <c r="AX199">
        <v>6</v>
      </c>
      <c r="AY199" s="10">
        <f>D104</f>
        <v>2.32</v>
      </c>
      <c r="AZ199" s="10">
        <f>AQ104</f>
        <v>1.838664819910497</v>
      </c>
      <c r="BA199" s="10">
        <f t="shared" si="83"/>
        <v>-0.48133518008950293</v>
      </c>
      <c r="BB199" s="24">
        <f t="shared" si="91"/>
        <v>0.2316835555917942</v>
      </c>
      <c r="BC199" s="10">
        <f t="shared" si="84"/>
        <v>-0.01782722889220381</v>
      </c>
    </row>
    <row r="200" spans="49:55" ht="12.75">
      <c r="AW200">
        <v>8</v>
      </c>
      <c r="AX200">
        <v>7</v>
      </c>
      <c r="AY200" s="10">
        <f>D105</f>
        <v>5.61</v>
      </c>
      <c r="AZ200" s="10">
        <f>AQ105</f>
        <v>6.259864392397902</v>
      </c>
      <c r="BA200" s="10">
        <f t="shared" si="83"/>
        <v>0.6498643923979017</v>
      </c>
      <c r="BB200" s="24">
        <f t="shared" si="91"/>
        <v>0.422323728506694</v>
      </c>
      <c r="BC200" s="10">
        <f t="shared" si="84"/>
        <v>0.024069051570292658</v>
      </c>
    </row>
    <row r="201" spans="49:55" ht="12.75">
      <c r="AW201">
        <v>8</v>
      </c>
      <c r="AX201">
        <v>4</v>
      </c>
      <c r="AY201" s="10">
        <f>E102</f>
        <v>5.23</v>
      </c>
      <c r="AZ201" s="10">
        <f>AR102</f>
        <v>6.5655473815517515</v>
      </c>
      <c r="BA201" s="10">
        <f t="shared" si="83"/>
        <v>1.3355473815517511</v>
      </c>
      <c r="BB201" s="24">
        <f t="shared" si="91"/>
        <v>1.7836868083697386</v>
      </c>
      <c r="BC201" s="10">
        <f t="shared" si="84"/>
        <v>0.04946471783525004</v>
      </c>
    </row>
    <row r="202" spans="49:55" ht="12.75">
      <c r="AW202">
        <v>8</v>
      </c>
      <c r="AX202">
        <v>5</v>
      </c>
      <c r="AY202" s="10">
        <f>E103</f>
        <v>4.68</v>
      </c>
      <c r="AZ202" s="10">
        <f>AR103</f>
        <v>3.6511364749623167</v>
      </c>
      <c r="BA202" s="10">
        <f t="shared" si="83"/>
        <v>-1.028863525037683</v>
      </c>
      <c r="BB202" s="24">
        <f t="shared" si="91"/>
        <v>1.058560153152967</v>
      </c>
      <c r="BC202" s="10">
        <f t="shared" si="84"/>
        <v>-0.03810605648287715</v>
      </c>
    </row>
    <row r="203" spans="49:55" ht="12.75">
      <c r="AW203">
        <v>8</v>
      </c>
      <c r="AX203">
        <v>6</v>
      </c>
      <c r="AY203" s="10">
        <f>E104</f>
        <v>2.34</v>
      </c>
      <c r="AZ203" s="10">
        <f>AR104</f>
        <v>2.221173591341862</v>
      </c>
      <c r="BA203" s="10">
        <f t="shared" si="83"/>
        <v>-0.11882640865813787</v>
      </c>
      <c r="BB203" s="24">
        <f t="shared" si="91"/>
        <v>0.014119715394590783</v>
      </c>
      <c r="BC203" s="10">
        <f t="shared" si="84"/>
        <v>-0.00440097809844955</v>
      </c>
    </row>
    <row r="204" spans="49:55" ht="12.75">
      <c r="AW204">
        <v>8</v>
      </c>
      <c r="AX204">
        <v>7</v>
      </c>
      <c r="AY204" s="10">
        <f>E105</f>
        <v>7.75</v>
      </c>
      <c r="AZ204" s="10">
        <f>AR105</f>
        <v>7.562142552144071</v>
      </c>
      <c r="BA204" s="10">
        <f t="shared" si="83"/>
        <v>-0.1878574478559294</v>
      </c>
      <c r="BB204" s="24">
        <f t="shared" si="91"/>
        <v>0.03529042071494323</v>
      </c>
      <c r="BC204" s="10">
        <f t="shared" si="84"/>
        <v>-0.006957683253923311</v>
      </c>
    </row>
    <row r="205" spans="49:55" ht="12.75">
      <c r="AW205">
        <v>8</v>
      </c>
      <c r="AX205">
        <v>5</v>
      </c>
      <c r="AY205" s="10">
        <f>F103</f>
        <v>8.62</v>
      </c>
      <c r="AZ205" s="10">
        <f>AS103</f>
        <v>8.547873778307023</v>
      </c>
      <c r="BA205" s="10">
        <f t="shared" si="83"/>
        <v>-0.07212622169297589</v>
      </c>
      <c r="BB205" s="24">
        <f t="shared" si="91"/>
        <v>0.005202191855704306</v>
      </c>
      <c r="BC205" s="10">
        <f t="shared" si="84"/>
        <v>-0.002671341544184292</v>
      </c>
    </row>
    <row r="206" spans="49:55" ht="12.75">
      <c r="AW206">
        <v>8</v>
      </c>
      <c r="AX206">
        <v>6</v>
      </c>
      <c r="AY206" s="10">
        <f>F104</f>
        <v>3.52</v>
      </c>
      <c r="AZ206" s="10">
        <f>AS104</f>
        <v>2.6000550278930756</v>
      </c>
      <c r="BA206" s="10">
        <f t="shared" si="83"/>
        <v>-0.9199449721069244</v>
      </c>
      <c r="BB206" s="24">
        <f t="shared" si="91"/>
        <v>0.8462987517048098</v>
      </c>
      <c r="BC206" s="10">
        <f t="shared" si="84"/>
        <v>-0.034072036003960166</v>
      </c>
    </row>
    <row r="207" spans="49:55" ht="12.75">
      <c r="AW207">
        <v>8</v>
      </c>
      <c r="AX207">
        <v>7</v>
      </c>
      <c r="AY207" s="10">
        <f>F105</f>
        <v>7.86</v>
      </c>
      <c r="AZ207" s="10">
        <f>AS105</f>
        <v>8.852071193799901</v>
      </c>
      <c r="BA207" s="10">
        <f t="shared" si="83"/>
        <v>0.9920711937999007</v>
      </c>
      <c r="BB207" s="24">
        <f t="shared" si="91"/>
        <v>0.9842052535675602</v>
      </c>
      <c r="BC207" s="10">
        <f t="shared" si="84"/>
        <v>0.03674337754814447</v>
      </c>
    </row>
    <row r="208" spans="49:55" ht="12.75">
      <c r="AW208">
        <v>8</v>
      </c>
      <c r="AX208">
        <v>6</v>
      </c>
      <c r="AY208" s="10">
        <f>G104</f>
        <v>6.37</v>
      </c>
      <c r="AZ208" s="10">
        <f>AT104</f>
        <v>7.401142873729068</v>
      </c>
      <c r="BA208" s="10">
        <f t="shared" si="83"/>
        <v>1.0311428737290678</v>
      </c>
      <c r="BB208" s="24">
        <f t="shared" si="91"/>
        <v>1.06325562604224</v>
      </c>
      <c r="BC208" s="10">
        <f t="shared" si="84"/>
        <v>0.038190476804780285</v>
      </c>
    </row>
    <row r="209" spans="49:55" ht="12.75">
      <c r="AW209">
        <v>8</v>
      </c>
      <c r="AX209">
        <v>7</v>
      </c>
      <c r="AY209" s="10">
        <f>G105</f>
        <v>13.63</v>
      </c>
      <c r="AZ209" s="10">
        <f>AT105</f>
        <v>12.598857126270932</v>
      </c>
      <c r="BA209" s="10">
        <f t="shared" si="83"/>
        <v>-1.0311428737290687</v>
      </c>
      <c r="BB209" s="24">
        <f t="shared" si="91"/>
        <v>1.063255626042242</v>
      </c>
      <c r="BC209" s="10">
        <f t="shared" si="84"/>
        <v>-0.03819047680478032</v>
      </c>
    </row>
    <row r="210" spans="49:57" ht="12.75">
      <c r="AW210">
        <v>9</v>
      </c>
      <c r="AX210">
        <v>2</v>
      </c>
      <c r="AY210" s="10">
        <f aca="true" t="shared" si="92" ref="AY210:AY215">B113</f>
        <v>3.89</v>
      </c>
      <c r="AZ210" s="10">
        <f aca="true" t="shared" si="93" ref="AZ210:AZ215">AO113</f>
        <v>4.502138674573933</v>
      </c>
      <c r="BA210" s="10">
        <f t="shared" si="83"/>
        <v>0.612138674573933</v>
      </c>
      <c r="BB210" s="24">
        <f t="shared" si="91"/>
        <v>0.37471375690913145</v>
      </c>
      <c r="BC210" s="10">
        <f t="shared" si="84"/>
        <v>0.02267180276199752</v>
      </c>
      <c r="BD210" s="10"/>
      <c r="BE210" s="10"/>
    </row>
    <row r="211" spans="49:57" ht="12.75">
      <c r="AW211">
        <v>9</v>
      </c>
      <c r="AX211">
        <v>3</v>
      </c>
      <c r="AY211" s="10">
        <f t="shared" si="92"/>
        <v>0.76</v>
      </c>
      <c r="AZ211" s="10">
        <f t="shared" si="93"/>
        <v>1.3362299071038513</v>
      </c>
      <c r="BA211" s="10">
        <f t="shared" si="83"/>
        <v>0.5762299071038512</v>
      </c>
      <c r="BB211" s="24">
        <f t="shared" si="91"/>
        <v>0.33204090584091306</v>
      </c>
      <c r="BC211" s="10">
        <f t="shared" si="84"/>
        <v>0.02134184841125375</v>
      </c>
      <c r="BD211" s="10"/>
      <c r="BE211" s="10"/>
    </row>
    <row r="212" spans="49:57" ht="12.75">
      <c r="AW212">
        <v>9</v>
      </c>
      <c r="AX212">
        <v>4</v>
      </c>
      <c r="AY212" s="10">
        <f t="shared" si="92"/>
        <v>0.85</v>
      </c>
      <c r="AZ212" s="10">
        <f t="shared" si="93"/>
        <v>1.0395351078275903</v>
      </c>
      <c r="BA212" s="10">
        <f t="shared" si="83"/>
        <v>0.1895351078275903</v>
      </c>
      <c r="BB212" s="24">
        <f t="shared" si="91"/>
        <v>0.03592355709921628</v>
      </c>
      <c r="BC212" s="10">
        <f t="shared" si="84"/>
        <v>0.007019818808429271</v>
      </c>
      <c r="BD212" s="10"/>
      <c r="BE212" s="10"/>
    </row>
    <row r="213" spans="49:57" ht="12.75">
      <c r="AW213">
        <v>9</v>
      </c>
      <c r="AX213">
        <v>5</v>
      </c>
      <c r="AY213" s="10">
        <f t="shared" si="92"/>
        <v>0.82</v>
      </c>
      <c r="AZ213" s="10">
        <f t="shared" si="93"/>
        <v>1.1901078421555802</v>
      </c>
      <c r="BA213" s="10">
        <f t="shared" si="83"/>
        <v>0.37010784215558024</v>
      </c>
      <c r="BB213" s="24">
        <f t="shared" si="91"/>
        <v>0.1369798148250599</v>
      </c>
      <c r="BC213" s="10">
        <f t="shared" si="84"/>
        <v>0.013707697857614084</v>
      </c>
      <c r="BE213" s="10"/>
    </row>
    <row r="214" spans="49:55" ht="12.75">
      <c r="AW214">
        <v>9</v>
      </c>
      <c r="AX214">
        <v>6</v>
      </c>
      <c r="AY214" s="10">
        <f t="shared" si="92"/>
        <v>0.17</v>
      </c>
      <c r="AZ214" s="10">
        <f t="shared" si="93"/>
        <v>0.6283137369910379</v>
      </c>
      <c r="BA214" s="10">
        <f t="shared" si="83"/>
        <v>0.45831373699103783</v>
      </c>
      <c r="BB214" s="24">
        <f t="shared" si="91"/>
        <v>0.2100514815146902</v>
      </c>
      <c r="BC214" s="10">
        <f t="shared" si="84"/>
        <v>0.01697458285151992</v>
      </c>
    </row>
    <row r="215" spans="49:55" ht="12.75">
      <c r="AW215">
        <v>9</v>
      </c>
      <c r="AX215">
        <v>7</v>
      </c>
      <c r="AY215" s="10">
        <f t="shared" si="92"/>
        <v>3.51</v>
      </c>
      <c r="AZ215" s="10">
        <f t="shared" si="93"/>
        <v>1.3036747313480075</v>
      </c>
      <c r="BA215" s="10">
        <f t="shared" si="83"/>
        <v>-2.2063252686519923</v>
      </c>
      <c r="BB215" s="24">
        <f t="shared" si="91"/>
        <v>4.867871191092286</v>
      </c>
      <c r="BC215" s="10">
        <f t="shared" si="84"/>
        <v>-0.08171575069081453</v>
      </c>
    </row>
    <row r="216" spans="49:55" ht="12.75">
      <c r="AW216">
        <v>9</v>
      </c>
      <c r="AX216">
        <v>2</v>
      </c>
      <c r="AY216" s="10">
        <f aca="true" t="shared" si="94" ref="AY216:AY221">C113</f>
        <v>13.03</v>
      </c>
      <c r="AZ216" s="10">
        <f aca="true" t="shared" si="95" ref="AZ216:AZ221">AP113</f>
        <v>12.41786132542607</v>
      </c>
      <c r="BA216" s="10">
        <f t="shared" si="83"/>
        <v>-0.612138674573929</v>
      </c>
      <c r="BB216" s="24">
        <f t="shared" si="91"/>
        <v>0.37471375690912656</v>
      </c>
      <c r="BC216" s="10">
        <f t="shared" si="84"/>
        <v>-0.02267180276199737</v>
      </c>
    </row>
    <row r="217" spans="49:55" ht="12.75">
      <c r="AW217">
        <v>9</v>
      </c>
      <c r="AX217">
        <v>3</v>
      </c>
      <c r="AY217" s="10">
        <f t="shared" si="94"/>
        <v>2.36</v>
      </c>
      <c r="AZ217" s="10">
        <f t="shared" si="95"/>
        <v>1.8428039299425727</v>
      </c>
      <c r="BA217" s="10">
        <f t="shared" si="83"/>
        <v>-0.5171960700574272</v>
      </c>
      <c r="BB217" s="24">
        <f t="shared" si="91"/>
        <v>0.26749177488284714</v>
      </c>
      <c r="BC217" s="10">
        <f t="shared" si="84"/>
        <v>-0.019155410002126932</v>
      </c>
    </row>
    <row r="218" spans="49:55" ht="12.75">
      <c r="AW218">
        <v>9</v>
      </c>
      <c r="AX218">
        <v>4</v>
      </c>
      <c r="AY218" s="10">
        <f t="shared" si="94"/>
        <v>1.47</v>
      </c>
      <c r="AZ218" s="10">
        <f t="shared" si="95"/>
        <v>1.4336300750594377</v>
      </c>
      <c r="BA218" s="10">
        <f t="shared" si="83"/>
        <v>-0.03636992494056224</v>
      </c>
      <c r="BB218" s="24">
        <f t="shared" si="91"/>
        <v>0.0013227714401821311</v>
      </c>
      <c r="BC218" s="10">
        <f t="shared" si="84"/>
        <v>-0.0013470342570578607</v>
      </c>
    </row>
    <row r="219" spans="49:55" ht="12.75">
      <c r="AW219">
        <v>9</v>
      </c>
      <c r="AX219">
        <v>5</v>
      </c>
      <c r="AY219" s="10">
        <f t="shared" si="94"/>
        <v>1.23</v>
      </c>
      <c r="AZ219" s="10">
        <f t="shared" si="95"/>
        <v>1.6412859770016577</v>
      </c>
      <c r="BA219" s="10">
        <f t="shared" si="83"/>
        <v>0.4112859770016577</v>
      </c>
      <c r="BB219" s="24">
        <f t="shared" si="91"/>
        <v>0.1691561548782081</v>
      </c>
      <c r="BC219" s="10">
        <f t="shared" si="84"/>
        <v>0.01523281396302436</v>
      </c>
    </row>
    <row r="220" spans="49:55" ht="12.75">
      <c r="AW220">
        <v>9</v>
      </c>
      <c r="AX220">
        <v>6</v>
      </c>
      <c r="AY220" s="10">
        <f t="shared" si="94"/>
        <v>0.99</v>
      </c>
      <c r="AZ220" s="10">
        <f t="shared" si="95"/>
        <v>0.8665118312413289</v>
      </c>
      <c r="BA220" s="10">
        <f t="shared" si="83"/>
        <v>-0.12348816875867108</v>
      </c>
      <c r="BB220" s="24">
        <f t="shared" si="91"/>
        <v>0.015249327823370028</v>
      </c>
      <c r="BC220" s="10">
        <f t="shared" si="84"/>
        <v>-0.004573635879950781</v>
      </c>
    </row>
    <row r="221" spans="49:55" ht="12.75">
      <c r="AW221">
        <v>9</v>
      </c>
      <c r="AX221">
        <v>7</v>
      </c>
      <c r="AY221" s="10">
        <f t="shared" si="94"/>
        <v>0.92</v>
      </c>
      <c r="AZ221" s="10">
        <f t="shared" si="95"/>
        <v>1.7979068613289328</v>
      </c>
      <c r="BA221" s="10">
        <f t="shared" si="83"/>
        <v>0.8779068613289328</v>
      </c>
      <c r="BB221" s="24">
        <f t="shared" si="91"/>
        <v>0.7707204571684181</v>
      </c>
      <c r="BC221" s="10">
        <f t="shared" si="84"/>
        <v>0.03251506893810862</v>
      </c>
    </row>
    <row r="222" spans="49:55" ht="12.75">
      <c r="AW222">
        <v>9</v>
      </c>
      <c r="AX222">
        <v>3</v>
      </c>
      <c r="AY222" s="10">
        <f>D114</f>
        <v>7.88</v>
      </c>
      <c r="AZ222" s="10">
        <f>AQ114</f>
        <v>7.820966162953557</v>
      </c>
      <c r="BA222" s="10">
        <f aca="true" t="shared" si="96" ref="BA222:BA285">AZ222-AY222</f>
        <v>-0.05903383704644316</v>
      </c>
      <c r="BB222" s="24">
        <f t="shared" si="91"/>
        <v>0.003484993916426005</v>
      </c>
      <c r="BC222" s="10">
        <f aca="true" t="shared" si="97" ref="BC222:BC285">BA222/27</f>
        <v>-0.0021864384091275246</v>
      </c>
    </row>
    <row r="223" spans="49:55" ht="12.75">
      <c r="AW223">
        <v>9</v>
      </c>
      <c r="AX223">
        <v>4</v>
      </c>
      <c r="AY223" s="10">
        <f>D115</f>
        <v>5.76</v>
      </c>
      <c r="AZ223" s="10">
        <f>AQ115</f>
        <v>3.0422043618014847</v>
      </c>
      <c r="BA223" s="10">
        <f t="shared" si="96"/>
        <v>-2.717795638198515</v>
      </c>
      <c r="BB223" s="24">
        <f t="shared" si="91"/>
        <v>7.386413131010874</v>
      </c>
      <c r="BC223" s="10">
        <f t="shared" si="97"/>
        <v>-0.10065909771105612</v>
      </c>
    </row>
    <row r="224" spans="49:55" ht="12.75">
      <c r="AW224">
        <v>9</v>
      </c>
      <c r="AX224">
        <v>5</v>
      </c>
      <c r="AY224" s="10">
        <f>D116</f>
        <v>1.96</v>
      </c>
      <c r="AZ224" s="10">
        <f>AQ116</f>
        <v>3.4828561740315345</v>
      </c>
      <c r="BA224" s="10">
        <f t="shared" si="96"/>
        <v>1.5228561740315345</v>
      </c>
      <c r="BB224" s="24">
        <f t="shared" si="91"/>
        <v>2.319090926785963</v>
      </c>
      <c r="BC224" s="10">
        <f t="shared" si="97"/>
        <v>0.05640208051968646</v>
      </c>
    </row>
    <row r="225" spans="49:55" ht="12.75">
      <c r="AW225">
        <v>9</v>
      </c>
      <c r="AX225">
        <v>6</v>
      </c>
      <c r="AY225" s="10">
        <f>D117</f>
        <v>1.35</v>
      </c>
      <c r="AZ225" s="10">
        <f>AQ117</f>
        <v>1.8387630940608382</v>
      </c>
      <c r="BA225" s="10">
        <f t="shared" si="96"/>
        <v>0.48876309406083807</v>
      </c>
      <c r="BB225" s="24">
        <f t="shared" si="91"/>
        <v>0.23888936211592363</v>
      </c>
      <c r="BC225" s="10">
        <f t="shared" si="97"/>
        <v>0.018102336817068077</v>
      </c>
    </row>
    <row r="226" spans="49:55" ht="12.75">
      <c r="AW226">
        <v>9</v>
      </c>
      <c r="AX226">
        <v>7</v>
      </c>
      <c r="AY226" s="10">
        <f>D118</f>
        <v>3.05</v>
      </c>
      <c r="AZ226" s="10">
        <f>AQ118</f>
        <v>3.8152102071525875</v>
      </c>
      <c r="BA226" s="10">
        <f t="shared" si="96"/>
        <v>0.7652102071525877</v>
      </c>
      <c r="BB226" s="24">
        <f t="shared" si="91"/>
        <v>0.5855466611305061</v>
      </c>
      <c r="BC226" s="10">
        <f t="shared" si="97"/>
        <v>0.028341118783429174</v>
      </c>
    </row>
    <row r="227" spans="49:55" ht="12.75">
      <c r="AW227">
        <v>9</v>
      </c>
      <c r="AX227">
        <v>4</v>
      </c>
      <c r="AY227" s="10">
        <f>E115</f>
        <v>5.43</v>
      </c>
      <c r="AZ227" s="10">
        <f>AR115</f>
        <v>7.994630455311434</v>
      </c>
      <c r="BA227" s="10">
        <f t="shared" si="96"/>
        <v>2.564630455311434</v>
      </c>
      <c r="BB227" s="24">
        <f t="shared" si="91"/>
        <v>6.577329372310934</v>
      </c>
      <c r="BC227" s="10">
        <f t="shared" si="97"/>
        <v>0.09498631315968274</v>
      </c>
    </row>
    <row r="228" spans="49:55" ht="12.75">
      <c r="AW228">
        <v>9</v>
      </c>
      <c r="AX228">
        <v>5</v>
      </c>
      <c r="AY228" s="10">
        <f>E116</f>
        <v>3.69</v>
      </c>
      <c r="AZ228" s="10">
        <f>AR116</f>
        <v>4.576311241611272</v>
      </c>
      <c r="BA228" s="10">
        <f t="shared" si="96"/>
        <v>0.886311241611272</v>
      </c>
      <c r="BB228" s="24">
        <f t="shared" si="91"/>
        <v>0.7855476170065144</v>
      </c>
      <c r="BC228" s="10">
        <f t="shared" si="97"/>
        <v>0.032826342281898964</v>
      </c>
    </row>
    <row r="229" spans="49:55" ht="12.75">
      <c r="AW229">
        <v>9</v>
      </c>
      <c r="AX229">
        <v>6</v>
      </c>
      <c r="AY229" s="10">
        <f>E117</f>
        <v>1.26</v>
      </c>
      <c r="AZ229" s="10">
        <f>AR117</f>
        <v>2.416049299064265</v>
      </c>
      <c r="BA229" s="10">
        <f t="shared" si="96"/>
        <v>1.156049299064265</v>
      </c>
      <c r="BB229" s="24">
        <f t="shared" si="91"/>
        <v>1.3364499818669784</v>
      </c>
      <c r="BC229" s="10">
        <f t="shared" si="97"/>
        <v>0.04281664070608389</v>
      </c>
    </row>
    <row r="230" spans="49:55" ht="12.75">
      <c r="AW230">
        <v>9</v>
      </c>
      <c r="AX230">
        <v>7</v>
      </c>
      <c r="AY230" s="10">
        <f>E118</f>
        <v>9.62</v>
      </c>
      <c r="AZ230" s="10">
        <f>AR118</f>
        <v>5.01300900401303</v>
      </c>
      <c r="BA230" s="10">
        <f t="shared" si="96"/>
        <v>-4.606990995986969</v>
      </c>
      <c r="BB230" s="24">
        <f t="shared" si="91"/>
        <v>21.224366037105003</v>
      </c>
      <c r="BC230" s="10">
        <f t="shared" si="97"/>
        <v>-0.17062929614766553</v>
      </c>
    </row>
    <row r="231" spans="49:55" ht="12.75">
      <c r="AW231">
        <v>9</v>
      </c>
      <c r="AX231">
        <v>5</v>
      </c>
      <c r="AY231" s="10">
        <f>F116</f>
        <v>14.23</v>
      </c>
      <c r="AZ231" s="10">
        <f>AS116</f>
        <v>11.039438765200027</v>
      </c>
      <c r="BA231" s="10">
        <f t="shared" si="96"/>
        <v>-3.190561234799974</v>
      </c>
      <c r="BB231" s="24">
        <f t="shared" si="91"/>
        <v>10.179680993008335</v>
      </c>
      <c r="BC231" s="10">
        <f t="shared" si="97"/>
        <v>-0.11816893462222125</v>
      </c>
    </row>
    <row r="232" spans="49:55" ht="12.75">
      <c r="AW232">
        <v>9</v>
      </c>
      <c r="AX232">
        <v>6</v>
      </c>
      <c r="AY232" s="10">
        <f>F117</f>
        <v>4.74</v>
      </c>
      <c r="AZ232" s="10">
        <f>AS117</f>
        <v>2.914118695446677</v>
      </c>
      <c r="BA232" s="10">
        <f t="shared" si="96"/>
        <v>-1.8258813045533233</v>
      </c>
      <c r="BB232" s="24">
        <f t="shared" si="91"/>
        <v>3.333842538317346</v>
      </c>
      <c r="BC232" s="10">
        <f t="shared" si="97"/>
        <v>-0.06762523350197494</v>
      </c>
    </row>
    <row r="233" spans="49:55" ht="12.75">
      <c r="AW233">
        <v>9</v>
      </c>
      <c r="AX233">
        <v>7</v>
      </c>
      <c r="AY233" s="10">
        <f>F118</f>
        <v>1.03</v>
      </c>
      <c r="AZ233" s="10">
        <f>AS118</f>
        <v>6.046442539353298</v>
      </c>
      <c r="BA233" s="10">
        <f t="shared" si="96"/>
        <v>5.016442539353298</v>
      </c>
      <c r="BB233" s="24">
        <f t="shared" si="91"/>
        <v>25.16469575063336</v>
      </c>
      <c r="BC233" s="10">
        <f t="shared" si="97"/>
        <v>0.18579416812419622</v>
      </c>
    </row>
    <row r="234" spans="49:55" ht="12.75">
      <c r="AW234">
        <v>9</v>
      </c>
      <c r="AX234">
        <v>6</v>
      </c>
      <c r="AY234" s="10">
        <f>G117</f>
        <v>9.97</v>
      </c>
      <c r="AZ234" s="10">
        <f>AT117</f>
        <v>9.81624334319602</v>
      </c>
      <c r="BA234" s="10">
        <f t="shared" si="96"/>
        <v>-0.15375665680398143</v>
      </c>
      <c r="BB234" s="24">
        <f t="shared" si="91"/>
        <v>0.023641109511537327</v>
      </c>
      <c r="BC234" s="10">
        <f t="shared" si="97"/>
        <v>-0.005694690992740053</v>
      </c>
    </row>
    <row r="235" spans="49:55" ht="12.75">
      <c r="AW235">
        <v>9</v>
      </c>
      <c r="AX235">
        <v>7</v>
      </c>
      <c r="AY235" s="10">
        <f>G118</f>
        <v>10.03</v>
      </c>
      <c r="AZ235" s="10">
        <f>AT118</f>
        <v>10.18375665680398</v>
      </c>
      <c r="BA235" s="10">
        <f t="shared" si="96"/>
        <v>0.15375665680398143</v>
      </c>
      <c r="BB235" s="24">
        <f t="shared" si="91"/>
        <v>0.023641109511537327</v>
      </c>
      <c r="BC235" s="10">
        <f t="shared" si="97"/>
        <v>0.005694690992740053</v>
      </c>
    </row>
    <row r="236" spans="49:57" ht="12.75">
      <c r="AW236">
        <v>10</v>
      </c>
      <c r="AX236">
        <v>2</v>
      </c>
      <c r="AY236" s="10">
        <f aca="true" t="shared" si="98" ref="AY236:AY241">B126</f>
        <v>5.5</v>
      </c>
      <c r="AZ236" s="10">
        <f aca="true" t="shared" si="99" ref="AZ236:AZ241">AO126</f>
        <v>4.0318765187119325</v>
      </c>
      <c r="BA236" s="10">
        <f t="shared" si="96"/>
        <v>-1.4681234812880675</v>
      </c>
      <c r="BB236" s="24">
        <f t="shared" si="91"/>
        <v>2.1553865563093946</v>
      </c>
      <c r="BC236" s="10">
        <f t="shared" si="97"/>
        <v>-0.05437494375140991</v>
      </c>
      <c r="BD236" s="10"/>
      <c r="BE236" s="10"/>
    </row>
    <row r="237" spans="49:57" ht="12.75">
      <c r="AW237">
        <v>10</v>
      </c>
      <c r="AX237">
        <v>3</v>
      </c>
      <c r="AY237" s="10">
        <f t="shared" si="98"/>
        <v>0.48</v>
      </c>
      <c r="AZ237" s="10">
        <f t="shared" si="99"/>
        <v>1.5798384190874133</v>
      </c>
      <c r="BA237" s="10">
        <f t="shared" si="96"/>
        <v>1.0998384190874133</v>
      </c>
      <c r="BB237" s="24">
        <f t="shared" si="91"/>
        <v>1.2096445481007005</v>
      </c>
      <c r="BC237" s="10">
        <f t="shared" si="97"/>
        <v>0.04073475626249679</v>
      </c>
      <c r="BD237" s="10"/>
      <c r="BE237" s="10"/>
    </row>
    <row r="238" spans="49:57" ht="12.75">
      <c r="AW238">
        <v>10</v>
      </c>
      <c r="AX238">
        <v>4</v>
      </c>
      <c r="AY238" s="10">
        <f t="shared" si="98"/>
        <v>0.8</v>
      </c>
      <c r="AZ238" s="10">
        <f t="shared" si="99"/>
        <v>1.5723552504407001</v>
      </c>
      <c r="BA238" s="10">
        <f t="shared" si="96"/>
        <v>0.7723552504407001</v>
      </c>
      <c r="BB238" s="24">
        <f t="shared" si="91"/>
        <v>0.5965326328833166</v>
      </c>
      <c r="BC238" s="10">
        <f t="shared" si="97"/>
        <v>0.028605750016322224</v>
      </c>
      <c r="BD238" s="10"/>
      <c r="BE238" s="10"/>
    </row>
    <row r="239" spans="49:57" ht="12.75">
      <c r="AW239">
        <v>10</v>
      </c>
      <c r="AX239">
        <v>5</v>
      </c>
      <c r="AY239" s="10">
        <f t="shared" si="98"/>
        <v>0.88</v>
      </c>
      <c r="AZ239" s="10">
        <f t="shared" si="99"/>
        <v>0.8982986574578641</v>
      </c>
      <c r="BA239" s="10">
        <f t="shared" si="96"/>
        <v>0.018298657457864076</v>
      </c>
      <c r="BB239" s="24">
        <f t="shared" si="91"/>
        <v>0.00033484086476024457</v>
      </c>
      <c r="BC239" s="10">
        <f t="shared" si="97"/>
        <v>0.0006777280539949658</v>
      </c>
      <c r="BE239" s="10"/>
    </row>
    <row r="240" spans="49:55" ht="12.75">
      <c r="AW240">
        <v>10</v>
      </c>
      <c r="AX240">
        <v>6</v>
      </c>
      <c r="AY240" s="10">
        <f t="shared" si="98"/>
        <v>0.06</v>
      </c>
      <c r="AZ240" s="10">
        <f t="shared" si="99"/>
        <v>0.6170905094720993</v>
      </c>
      <c r="BA240" s="10">
        <f t="shared" si="96"/>
        <v>0.5570905094720993</v>
      </c>
      <c r="BB240" s="24">
        <f t="shared" si="91"/>
        <v>0.31034983574388314</v>
      </c>
      <c r="BC240" s="10">
        <f t="shared" si="97"/>
        <v>0.020632981832299974</v>
      </c>
    </row>
    <row r="241" spans="49:55" ht="12.75">
      <c r="AW241">
        <v>10</v>
      </c>
      <c r="AX241">
        <v>7</v>
      </c>
      <c r="AY241" s="10">
        <f t="shared" si="98"/>
        <v>2.51</v>
      </c>
      <c r="AZ241" s="10">
        <f t="shared" si="99"/>
        <v>1.530540644829991</v>
      </c>
      <c r="BA241" s="10">
        <f t="shared" si="96"/>
        <v>-0.9794593551700088</v>
      </c>
      <c r="BB241" s="24">
        <f t="shared" si="91"/>
        <v>0.9593406284300495</v>
      </c>
      <c r="BC241" s="10">
        <f t="shared" si="97"/>
        <v>-0.03627627241370403</v>
      </c>
    </row>
    <row r="242" spans="49:55" ht="12.75">
      <c r="AW242">
        <v>10</v>
      </c>
      <c r="AX242">
        <v>2</v>
      </c>
      <c r="AY242" s="10">
        <f aca="true" t="shared" si="100" ref="AY242:AY247">C126</f>
        <v>9.84</v>
      </c>
      <c r="AZ242" s="10">
        <f aca="true" t="shared" si="101" ref="AZ242:AZ247">AP126</f>
        <v>11.308123481288064</v>
      </c>
      <c r="BA242" s="10">
        <f t="shared" si="96"/>
        <v>1.468123481288064</v>
      </c>
      <c r="BB242" s="24">
        <f t="shared" si="91"/>
        <v>2.1553865563093844</v>
      </c>
      <c r="BC242" s="10">
        <f t="shared" si="97"/>
        <v>0.05437494375140978</v>
      </c>
    </row>
    <row r="243" spans="49:55" ht="12.75">
      <c r="AW243">
        <v>10</v>
      </c>
      <c r="AX243">
        <v>3</v>
      </c>
      <c r="AY243" s="10">
        <f t="shared" si="100"/>
        <v>2.49</v>
      </c>
      <c r="AZ243" s="10">
        <f t="shared" si="101"/>
        <v>2.215470617789499</v>
      </c>
      <c r="BA243" s="10">
        <f t="shared" si="96"/>
        <v>-0.27452938221050127</v>
      </c>
      <c r="BB243" s="24">
        <f t="shared" si="91"/>
        <v>0.0753663816968795</v>
      </c>
      <c r="BC243" s="10">
        <f t="shared" si="97"/>
        <v>-0.010167754896685232</v>
      </c>
    </row>
    <row r="244" spans="49:55" ht="12.75">
      <c r="AW244">
        <v>10</v>
      </c>
      <c r="AX244">
        <v>4</v>
      </c>
      <c r="AY244" s="10">
        <f t="shared" si="100"/>
        <v>1.68</v>
      </c>
      <c r="AZ244" s="10">
        <f t="shared" si="101"/>
        <v>2.204976671026048</v>
      </c>
      <c r="BA244" s="10">
        <f t="shared" si="96"/>
        <v>0.524976671026048</v>
      </c>
      <c r="BB244" s="24">
        <f t="shared" si="91"/>
        <v>0.27560050512159134</v>
      </c>
      <c r="BC244" s="10">
        <f t="shared" si="97"/>
        <v>0.019443580408372147</v>
      </c>
    </row>
    <row r="245" spans="49:55" ht="12.75">
      <c r="AW245">
        <v>10</v>
      </c>
      <c r="AX245">
        <v>5</v>
      </c>
      <c r="AY245" s="10">
        <f t="shared" si="100"/>
        <v>1.67</v>
      </c>
      <c r="AZ245" s="10">
        <f t="shared" si="101"/>
        <v>1.2597201445115223</v>
      </c>
      <c r="BA245" s="10">
        <f t="shared" si="96"/>
        <v>-0.4102798554884777</v>
      </c>
      <c r="BB245" s="24">
        <f t="shared" si="91"/>
        <v>0.16832955981964612</v>
      </c>
      <c r="BC245" s="10">
        <f t="shared" si="97"/>
        <v>-0.015195550203276951</v>
      </c>
    </row>
    <row r="246" spans="49:55" ht="12.75">
      <c r="AW246">
        <v>10</v>
      </c>
      <c r="AX246">
        <v>6</v>
      </c>
      <c r="AY246" s="10">
        <f t="shared" si="100"/>
        <v>1.72</v>
      </c>
      <c r="AZ246" s="10">
        <f t="shared" si="101"/>
        <v>0.8653707086335536</v>
      </c>
      <c r="BA246" s="10">
        <f t="shared" si="96"/>
        <v>-0.8546292913664464</v>
      </c>
      <c r="BB246" s="24">
        <f t="shared" si="91"/>
        <v>0.7303912256615143</v>
      </c>
      <c r="BC246" s="10">
        <f t="shared" si="97"/>
        <v>-0.031652936717275794</v>
      </c>
    </row>
    <row r="247" spans="49:55" ht="12.75">
      <c r="AW247">
        <v>10</v>
      </c>
      <c r="AX247">
        <v>7</v>
      </c>
      <c r="AY247" s="10">
        <f t="shared" si="100"/>
        <v>2.6</v>
      </c>
      <c r="AZ247" s="10">
        <f t="shared" si="101"/>
        <v>2.146338376751312</v>
      </c>
      <c r="BA247" s="10">
        <f t="shared" si="96"/>
        <v>-0.4536616232486881</v>
      </c>
      <c r="BB247" s="24">
        <f t="shared" si="91"/>
        <v>0.2058088684086346</v>
      </c>
      <c r="BC247" s="10">
        <f t="shared" si="97"/>
        <v>-0.016802282342544002</v>
      </c>
    </row>
    <row r="248" spans="49:55" ht="12.75">
      <c r="AW248">
        <v>10</v>
      </c>
      <c r="AX248">
        <v>3</v>
      </c>
      <c r="AY248" s="10">
        <f>D127</f>
        <v>8.95</v>
      </c>
      <c r="AZ248" s="10">
        <f>AQ127</f>
        <v>8.12469096312311</v>
      </c>
      <c r="BA248" s="10">
        <f t="shared" si="96"/>
        <v>-0.8253090368768898</v>
      </c>
      <c r="BB248" s="24">
        <f t="shared" si="91"/>
        <v>0.6811350063506595</v>
      </c>
      <c r="BC248" s="10">
        <f t="shared" si="97"/>
        <v>-0.030567001365810736</v>
      </c>
    </row>
    <row r="249" spans="49:55" ht="12.75">
      <c r="AW249">
        <v>10</v>
      </c>
      <c r="AX249">
        <v>4</v>
      </c>
      <c r="AY249" s="10">
        <f>D128</f>
        <v>6.09</v>
      </c>
      <c r="AZ249" s="10">
        <f>AQ128</f>
        <v>4.043103503412109</v>
      </c>
      <c r="BA249" s="10">
        <f t="shared" si="96"/>
        <v>-2.046896496587891</v>
      </c>
      <c r="BB249" s="24">
        <f t="shared" si="91"/>
        <v>4.189785267743782</v>
      </c>
      <c r="BC249" s="10">
        <f t="shared" si="97"/>
        <v>-0.07581098135510708</v>
      </c>
    </row>
    <row r="250" spans="49:55" ht="12.75">
      <c r="AW250">
        <v>10</v>
      </c>
      <c r="AX250">
        <v>5</v>
      </c>
      <c r="AY250" s="10">
        <f>D129</f>
        <v>1.78</v>
      </c>
      <c r="AZ250" s="10">
        <f>AQ129</f>
        <v>2.30985615245685</v>
      </c>
      <c r="BA250" s="10">
        <f t="shared" si="96"/>
        <v>0.5298561524568501</v>
      </c>
      <c r="BB250" s="24">
        <f t="shared" si="91"/>
        <v>0.28074754229637683</v>
      </c>
      <c r="BC250" s="10">
        <f t="shared" si="97"/>
        <v>0.0196243019428463</v>
      </c>
    </row>
    <row r="251" spans="49:55" ht="12.75">
      <c r="AW251">
        <v>10</v>
      </c>
      <c r="AX251">
        <v>6</v>
      </c>
      <c r="AY251" s="10">
        <f>D130</f>
        <v>1.28</v>
      </c>
      <c r="AZ251" s="10">
        <f>AQ130</f>
        <v>1.5867666038382346</v>
      </c>
      <c r="BA251" s="10">
        <f t="shared" si="96"/>
        <v>0.3067666038382346</v>
      </c>
      <c r="BB251" s="24">
        <f t="shared" si="91"/>
        <v>0.09410574923044439</v>
      </c>
      <c r="BC251" s="10">
        <f t="shared" si="97"/>
        <v>0.011361726068082764</v>
      </c>
    </row>
    <row r="252" spans="49:55" ht="12.75">
      <c r="AW252">
        <v>10</v>
      </c>
      <c r="AX252">
        <v>7</v>
      </c>
      <c r="AY252" s="10">
        <f>D131</f>
        <v>1.9</v>
      </c>
      <c r="AZ252" s="10">
        <f>AQ131</f>
        <v>3.9355827771696954</v>
      </c>
      <c r="BA252" s="10">
        <f t="shared" si="96"/>
        <v>2.0355827771696955</v>
      </c>
      <c r="BB252" s="24">
        <f t="shared" si="91"/>
        <v>4.14359724270989</v>
      </c>
      <c r="BC252" s="10">
        <f t="shared" si="97"/>
        <v>0.07539195470998872</v>
      </c>
    </row>
    <row r="253" spans="49:55" ht="12.75">
      <c r="AW253">
        <v>10</v>
      </c>
      <c r="AX253">
        <v>4</v>
      </c>
      <c r="AY253" s="10">
        <f>E128</f>
        <v>9.41</v>
      </c>
      <c r="AZ253" s="10">
        <f>AR128</f>
        <v>10.159564575121147</v>
      </c>
      <c r="BA253" s="10">
        <f t="shared" si="96"/>
        <v>0.7495645751211466</v>
      </c>
      <c r="BB253" s="24">
        <f t="shared" si="91"/>
        <v>0.5618470522765451</v>
      </c>
      <c r="BC253" s="10">
        <f t="shared" si="97"/>
        <v>0.027761650930412836</v>
      </c>
    </row>
    <row r="254" spans="49:55" ht="12.75">
      <c r="AW254">
        <v>10</v>
      </c>
      <c r="AX254">
        <v>5</v>
      </c>
      <c r="AY254" s="10">
        <f>E129</f>
        <v>7.47</v>
      </c>
      <c r="AZ254" s="10">
        <f>AR129</f>
        <v>2.902118721462556</v>
      </c>
      <c r="BA254" s="10">
        <f t="shared" si="96"/>
        <v>-4.567881278537444</v>
      </c>
      <c r="BB254" s="24">
        <f t="shared" si="91"/>
        <v>20.865539374812872</v>
      </c>
      <c r="BC254" s="10">
        <f t="shared" si="97"/>
        <v>-0.1691807880939794</v>
      </c>
    </row>
    <row r="255" spans="49:55" ht="12.75">
      <c r="AW255">
        <v>10</v>
      </c>
      <c r="AX255">
        <v>6</v>
      </c>
      <c r="AY255" s="10">
        <f>E130</f>
        <v>1.44</v>
      </c>
      <c r="AZ255" s="10">
        <f>AR130</f>
        <v>1.9936241755541624</v>
      </c>
      <c r="BA255" s="10">
        <f t="shared" si="96"/>
        <v>0.5536241755541624</v>
      </c>
      <c r="BB255" s="24">
        <f t="shared" si="91"/>
        <v>0.3064997277580261</v>
      </c>
      <c r="BC255" s="10">
        <f t="shared" si="97"/>
        <v>0.02050459909459861</v>
      </c>
    </row>
    <row r="256" spans="49:55" ht="12.75">
      <c r="AW256">
        <v>10</v>
      </c>
      <c r="AX256">
        <v>7</v>
      </c>
      <c r="AY256" s="10">
        <f>E131</f>
        <v>1.68</v>
      </c>
      <c r="AZ256" s="10">
        <f>AR131</f>
        <v>4.944692527862135</v>
      </c>
      <c r="BA256" s="10">
        <f t="shared" si="96"/>
        <v>3.2646925278621355</v>
      </c>
      <c r="BB256" s="24">
        <f t="shared" si="91"/>
        <v>10.65821730147886</v>
      </c>
      <c r="BC256" s="10">
        <f t="shared" si="97"/>
        <v>0.12091453806896799</v>
      </c>
    </row>
    <row r="257" spans="49:55" ht="12.75">
      <c r="AW257">
        <v>10</v>
      </c>
      <c r="AX257">
        <v>5</v>
      </c>
      <c r="AY257" s="10">
        <f>F129</f>
        <v>4.68</v>
      </c>
      <c r="AZ257" s="10">
        <f>AS129</f>
        <v>9.110006324111403</v>
      </c>
      <c r="BA257" s="10">
        <f t="shared" si="96"/>
        <v>4.430006324111403</v>
      </c>
      <c r="BB257" s="24">
        <f t="shared" si="91"/>
        <v>19.624956031667026</v>
      </c>
      <c r="BC257" s="10">
        <f t="shared" si="97"/>
        <v>0.16407430830042233</v>
      </c>
    </row>
    <row r="258" spans="49:55" ht="12.75">
      <c r="AW258">
        <v>10</v>
      </c>
      <c r="AX258">
        <v>6</v>
      </c>
      <c r="AY258" s="10">
        <f>F130</f>
        <v>5.01</v>
      </c>
      <c r="AZ258" s="10">
        <f>AS130</f>
        <v>3.1290809560759283</v>
      </c>
      <c r="BA258" s="10">
        <f t="shared" si="96"/>
        <v>-1.8809190439240715</v>
      </c>
      <c r="BB258" s="24">
        <f t="shared" si="91"/>
        <v>3.537856449796243</v>
      </c>
      <c r="BC258" s="10">
        <f t="shared" si="97"/>
        <v>-0.06966366829348412</v>
      </c>
    </row>
    <row r="259" spans="49:55" ht="12.75">
      <c r="AW259">
        <v>10</v>
      </c>
      <c r="AX259">
        <v>7</v>
      </c>
      <c r="AY259" s="10">
        <f>F131</f>
        <v>10.31</v>
      </c>
      <c r="AZ259" s="10">
        <f>AS131</f>
        <v>7.760912719812668</v>
      </c>
      <c r="BA259" s="10">
        <f t="shared" si="96"/>
        <v>-2.549087280187332</v>
      </c>
      <c r="BB259" s="24">
        <f aca="true" t="shared" si="102" ref="BB259:BB313">BA259^2</f>
        <v>6.497845962012851</v>
      </c>
      <c r="BC259" s="10">
        <f t="shared" si="97"/>
        <v>-0.09441064000693823</v>
      </c>
    </row>
    <row r="260" spans="49:55" ht="12.75">
      <c r="AW260">
        <v>10</v>
      </c>
      <c r="AX260">
        <v>6</v>
      </c>
      <c r="AY260" s="10">
        <f>G130</f>
        <v>7.61</v>
      </c>
      <c r="AZ260" s="10">
        <f>AT130</f>
        <v>8.928067046426568</v>
      </c>
      <c r="BA260" s="10">
        <f t="shared" si="96"/>
        <v>1.3180670464265676</v>
      </c>
      <c r="BB260" s="24">
        <f t="shared" si="102"/>
        <v>1.7373007388756554</v>
      </c>
      <c r="BC260" s="10">
        <f t="shared" si="97"/>
        <v>0.0488172980157988</v>
      </c>
    </row>
    <row r="261" spans="49:55" ht="12.75">
      <c r="AW261">
        <v>10</v>
      </c>
      <c r="AX261">
        <v>7</v>
      </c>
      <c r="AY261" s="10">
        <f>G131</f>
        <v>12.39</v>
      </c>
      <c r="AZ261" s="10">
        <f>AT131</f>
        <v>11.071932953573432</v>
      </c>
      <c r="BA261" s="10">
        <f t="shared" si="96"/>
        <v>-1.3180670464265685</v>
      </c>
      <c r="BB261" s="24">
        <f t="shared" si="102"/>
        <v>1.7373007388756578</v>
      </c>
      <c r="BC261" s="10">
        <f t="shared" si="97"/>
        <v>-0.04881729801579883</v>
      </c>
    </row>
    <row r="262" spans="49:57" ht="12.75">
      <c r="AW262">
        <v>11</v>
      </c>
      <c r="AX262">
        <v>2</v>
      </c>
      <c r="AY262" s="10">
        <f aca="true" t="shared" si="103" ref="AY262:AY267">B139</f>
        <v>4.51</v>
      </c>
      <c r="AZ262" s="10">
        <f aca="true" t="shared" si="104" ref="AZ262:AZ267">AO139</f>
        <v>5.052630773012446</v>
      </c>
      <c r="BA262" s="10">
        <f t="shared" si="96"/>
        <v>0.542630773012446</v>
      </c>
      <c r="BB262" s="24">
        <f t="shared" si="102"/>
        <v>0.2944481558200847</v>
      </c>
      <c r="BC262" s="10">
        <f t="shared" si="97"/>
        <v>0.020097436037498</v>
      </c>
      <c r="BD262" s="10"/>
      <c r="BE262" s="10"/>
    </row>
    <row r="263" spans="49:57" ht="12.75">
      <c r="AW263">
        <v>11</v>
      </c>
      <c r="AX263">
        <v>3</v>
      </c>
      <c r="AY263" s="10">
        <f t="shared" si="103"/>
        <v>1.08</v>
      </c>
      <c r="AZ263" s="10">
        <f t="shared" si="104"/>
        <v>1.5091762411012954</v>
      </c>
      <c r="BA263" s="10">
        <f t="shared" si="96"/>
        <v>0.4291762411012954</v>
      </c>
      <c r="BB263" s="24">
        <f t="shared" si="102"/>
        <v>0.18419224592583722</v>
      </c>
      <c r="BC263" s="10">
        <f t="shared" si="97"/>
        <v>0.015895416337085015</v>
      </c>
      <c r="BD263" s="10"/>
      <c r="BE263" s="10"/>
    </row>
    <row r="264" spans="49:57" ht="12.75">
      <c r="AW264">
        <v>11</v>
      </c>
      <c r="AX264">
        <v>4</v>
      </c>
      <c r="AY264" s="10">
        <f t="shared" si="103"/>
        <v>1.34</v>
      </c>
      <c r="AZ264" s="10">
        <f t="shared" si="104"/>
        <v>1.25339560993904</v>
      </c>
      <c r="BA264" s="10">
        <f t="shared" si="96"/>
        <v>-0.0866043900609601</v>
      </c>
      <c r="BB264" s="24">
        <f t="shared" si="102"/>
        <v>0.007500320377830925</v>
      </c>
      <c r="BC264" s="10">
        <f t="shared" si="97"/>
        <v>-0.0032075700022577815</v>
      </c>
      <c r="BD264" s="10"/>
      <c r="BE264" s="10"/>
    </row>
    <row r="265" spans="49:57" ht="12.75">
      <c r="AW265">
        <v>11</v>
      </c>
      <c r="AX265">
        <v>5</v>
      </c>
      <c r="AY265" s="10">
        <f t="shared" si="103"/>
        <v>1.19</v>
      </c>
      <c r="AZ265" s="10">
        <f t="shared" si="104"/>
        <v>0.9617711773702773</v>
      </c>
      <c r="BA265" s="10">
        <f t="shared" si="96"/>
        <v>-0.22822882262972266</v>
      </c>
      <c r="BB265" s="24">
        <f t="shared" si="102"/>
        <v>0.052088395478949404</v>
      </c>
      <c r="BC265" s="10">
        <f t="shared" si="97"/>
        <v>-0.008452919356656395</v>
      </c>
      <c r="BE265" s="10"/>
    </row>
    <row r="266" spans="49:55" ht="12.75">
      <c r="AW266">
        <v>11</v>
      </c>
      <c r="AX266">
        <v>6</v>
      </c>
      <c r="AY266" s="10">
        <f t="shared" si="103"/>
        <v>0.27</v>
      </c>
      <c r="AZ266" s="10">
        <f t="shared" si="104"/>
        <v>0.352062182268992</v>
      </c>
      <c r="BA266" s="10">
        <f t="shared" si="96"/>
        <v>0.08206218226899198</v>
      </c>
      <c r="BB266" s="24">
        <f t="shared" si="102"/>
        <v>0.006734201758749262</v>
      </c>
      <c r="BC266" s="10">
        <f t="shared" si="97"/>
        <v>0.00303934008403674</v>
      </c>
    </row>
    <row r="267" spans="49:55" ht="12.75">
      <c r="AW267">
        <v>11</v>
      </c>
      <c r="AX267">
        <v>7</v>
      </c>
      <c r="AY267" s="10">
        <f t="shared" si="103"/>
        <v>1.41</v>
      </c>
      <c r="AZ267" s="10">
        <f t="shared" si="104"/>
        <v>0.6709640163079502</v>
      </c>
      <c r="BA267" s="10">
        <f t="shared" si="96"/>
        <v>-0.7390359836920497</v>
      </c>
      <c r="BB267" s="24">
        <f t="shared" si="102"/>
        <v>0.5461741851916756</v>
      </c>
      <c r="BC267" s="10">
        <f t="shared" si="97"/>
        <v>-0.027371703099705543</v>
      </c>
    </row>
    <row r="268" spans="49:55" ht="12.75">
      <c r="AW268">
        <v>11</v>
      </c>
      <c r="AX268">
        <v>2</v>
      </c>
      <c r="AY268" s="10">
        <f aca="true" t="shared" si="105" ref="AY268:AY273">C139</f>
        <v>14.15</v>
      </c>
      <c r="AZ268" s="10">
        <f aca="true" t="shared" si="106" ref="AZ268:AZ273">AP139</f>
        <v>13.607369226987547</v>
      </c>
      <c r="BA268" s="10">
        <f t="shared" si="96"/>
        <v>-0.5426307730124531</v>
      </c>
      <c r="BB268" s="24">
        <f t="shared" si="102"/>
        <v>0.2944481558200924</v>
      </c>
      <c r="BC268" s="10">
        <f t="shared" si="97"/>
        <v>-0.020097436037498265</v>
      </c>
    </row>
    <row r="269" spans="49:55" ht="12.75">
      <c r="AW269">
        <v>11</v>
      </c>
      <c r="AX269">
        <v>3</v>
      </c>
      <c r="AY269" s="10">
        <f t="shared" si="105"/>
        <v>2.04</v>
      </c>
      <c r="AZ269" s="10">
        <f t="shared" si="106"/>
        <v>2.032200576672924</v>
      </c>
      <c r="BA269" s="10">
        <f t="shared" si="96"/>
        <v>-0.007799423327075949</v>
      </c>
      <c r="BB269" s="24">
        <f t="shared" si="102"/>
        <v>6.083100423493647E-05</v>
      </c>
      <c r="BC269" s="10">
        <f t="shared" si="97"/>
        <v>-0.00028886753063244255</v>
      </c>
    </row>
    <row r="270" spans="49:55" ht="12.75">
      <c r="AW270">
        <v>11</v>
      </c>
      <c r="AX270">
        <v>4</v>
      </c>
      <c r="AY270" s="10">
        <f t="shared" si="105"/>
        <v>1.12</v>
      </c>
      <c r="AZ270" s="10">
        <f t="shared" si="106"/>
        <v>1.6877758951855009</v>
      </c>
      <c r="BA270" s="10">
        <f t="shared" si="96"/>
        <v>0.5677758951855008</v>
      </c>
      <c r="BB270" s="24">
        <f t="shared" si="102"/>
        <v>0.32236946715369674</v>
      </c>
      <c r="BC270" s="10">
        <f t="shared" si="97"/>
        <v>0.02102873685872225</v>
      </c>
    </row>
    <row r="271" spans="49:55" ht="12.75">
      <c r="AW271">
        <v>11</v>
      </c>
      <c r="AX271">
        <v>5</v>
      </c>
      <c r="AY271" s="10">
        <f t="shared" si="105"/>
        <v>0.92</v>
      </c>
      <c r="AZ271" s="10">
        <f t="shared" si="106"/>
        <v>1.2950852843091425</v>
      </c>
      <c r="BA271" s="10">
        <f t="shared" si="96"/>
        <v>0.37508528430914245</v>
      </c>
      <c r="BB271" s="24">
        <f t="shared" si="102"/>
        <v>0.14068897050527024</v>
      </c>
      <c r="BC271" s="10">
        <f t="shared" si="97"/>
        <v>0.013892047567005275</v>
      </c>
    </row>
    <row r="272" spans="49:55" ht="12.75">
      <c r="AW272">
        <v>11</v>
      </c>
      <c r="AX272">
        <v>6</v>
      </c>
      <c r="AY272" s="10">
        <f t="shared" si="105"/>
        <v>0.89</v>
      </c>
      <c r="AZ272" s="10">
        <f t="shared" si="106"/>
        <v>0.4740738360084959</v>
      </c>
      <c r="BA272" s="10">
        <f t="shared" si="96"/>
        <v>-0.4159261639915041</v>
      </c>
      <c r="BB272" s="24">
        <f t="shared" si="102"/>
        <v>0.17299457389268758</v>
      </c>
      <c r="BC272" s="10">
        <f t="shared" si="97"/>
        <v>-0.015404672740426078</v>
      </c>
    </row>
    <row r="273" spans="49:55" ht="12.75">
      <c r="AW273">
        <v>11</v>
      </c>
      <c r="AX273">
        <v>7</v>
      </c>
      <c r="AY273" s="10">
        <f t="shared" si="105"/>
        <v>0.88</v>
      </c>
      <c r="AZ273" s="10">
        <f t="shared" si="106"/>
        <v>0.9034951808363895</v>
      </c>
      <c r="BA273" s="10">
        <f t="shared" si="96"/>
        <v>0.023495180836389462</v>
      </c>
      <c r="BB273" s="24">
        <f t="shared" si="102"/>
        <v>0.0005520235225346426</v>
      </c>
      <c r="BC273" s="10">
        <f t="shared" si="97"/>
        <v>0.0008701918828292394</v>
      </c>
    </row>
    <row r="274" spans="49:55" ht="12.75">
      <c r="AW274">
        <v>11</v>
      </c>
      <c r="AX274">
        <v>3</v>
      </c>
      <c r="AY274" s="10">
        <f>D140</f>
        <v>10.07</v>
      </c>
      <c r="AZ274" s="10">
        <f>AQ140</f>
        <v>9.648623182225794</v>
      </c>
      <c r="BA274" s="10">
        <f t="shared" si="96"/>
        <v>-0.4213768177742061</v>
      </c>
      <c r="BB274" s="24">
        <f t="shared" si="102"/>
        <v>0.1775584225575165</v>
      </c>
      <c r="BC274" s="10">
        <f t="shared" si="97"/>
        <v>-0.015606548806452078</v>
      </c>
    </row>
    <row r="275" spans="49:55" ht="12.75">
      <c r="AW275">
        <v>11</v>
      </c>
      <c r="AX275">
        <v>4</v>
      </c>
      <c r="AY275" s="10">
        <f>D141</f>
        <v>4.97</v>
      </c>
      <c r="AZ275" s="10">
        <f>AQ141</f>
        <v>4.006669867043761</v>
      </c>
      <c r="BA275" s="10">
        <f t="shared" si="96"/>
        <v>-0.9633301329562389</v>
      </c>
      <c r="BB275" s="24">
        <f t="shared" si="102"/>
        <v>0.928004945061485</v>
      </c>
      <c r="BC275" s="10">
        <f t="shared" si="97"/>
        <v>-0.035678893813194036</v>
      </c>
    </row>
    <row r="276" spans="49:55" ht="12.75">
      <c r="AW276">
        <v>11</v>
      </c>
      <c r="AX276">
        <v>5</v>
      </c>
      <c r="AY276" s="10">
        <f>D142</f>
        <v>1.46</v>
      </c>
      <c r="AZ276" s="10">
        <f>AQ142</f>
        <v>3.0744479754066707</v>
      </c>
      <c r="BA276" s="10">
        <f t="shared" si="96"/>
        <v>1.6144479754066707</v>
      </c>
      <c r="BB276" s="24">
        <f t="shared" si="102"/>
        <v>2.606442265294698</v>
      </c>
      <c r="BC276" s="10">
        <f t="shared" si="97"/>
        <v>0.05979436945950632</v>
      </c>
    </row>
    <row r="277" spans="49:55" ht="12.75">
      <c r="AW277">
        <v>11</v>
      </c>
      <c r="AX277">
        <v>6</v>
      </c>
      <c r="AY277" s="10">
        <f>D143</f>
        <v>1.28</v>
      </c>
      <c r="AZ277" s="10">
        <f>AQ143</f>
        <v>1.1254203587735916</v>
      </c>
      <c r="BA277" s="10">
        <f t="shared" si="96"/>
        <v>-0.15457964122640844</v>
      </c>
      <c r="BB277" s="24">
        <f t="shared" si="102"/>
        <v>0.02389486548168515</v>
      </c>
      <c r="BC277" s="10">
        <f t="shared" si="97"/>
        <v>-0.005725171897274387</v>
      </c>
    </row>
    <row r="278" spans="49:55" ht="12.75">
      <c r="AW278">
        <v>11</v>
      </c>
      <c r="AX278">
        <v>7</v>
      </c>
      <c r="AY278" s="10">
        <f>D144</f>
        <v>2.22</v>
      </c>
      <c r="AZ278" s="10">
        <f>AQ144</f>
        <v>2.144838616550183</v>
      </c>
      <c r="BA278" s="10">
        <f t="shared" si="96"/>
        <v>-0.07516138344981727</v>
      </c>
      <c r="BB278" s="24">
        <f t="shared" si="102"/>
        <v>0.0056492335620904645</v>
      </c>
      <c r="BC278" s="10">
        <f t="shared" si="97"/>
        <v>-0.0027837549425858248</v>
      </c>
    </row>
    <row r="279" spans="49:55" ht="12.75">
      <c r="AW279">
        <v>11</v>
      </c>
      <c r="AX279">
        <v>4</v>
      </c>
      <c r="AY279" s="10">
        <f>E141</f>
        <v>10.68</v>
      </c>
      <c r="AZ279" s="10">
        <f>AR141</f>
        <v>11.162158627831646</v>
      </c>
      <c r="BA279" s="10">
        <f t="shared" si="96"/>
        <v>0.4821586278316463</v>
      </c>
      <c r="BB279" s="24">
        <f t="shared" si="102"/>
        <v>0.23247694239249603</v>
      </c>
      <c r="BC279" s="10">
        <f t="shared" si="97"/>
        <v>0.017857726956727642</v>
      </c>
    </row>
    <row r="280" spans="49:55" ht="12.75">
      <c r="AW280">
        <v>11</v>
      </c>
      <c r="AX280">
        <v>5</v>
      </c>
      <c r="AY280" s="10">
        <f>E142</f>
        <v>6.28</v>
      </c>
      <c r="AZ280" s="10">
        <f>AR142</f>
        <v>4.282543500373984</v>
      </c>
      <c r="BA280" s="10">
        <f t="shared" si="96"/>
        <v>-1.9974564996260167</v>
      </c>
      <c r="BB280" s="24">
        <f t="shared" si="102"/>
        <v>3.989832467898219</v>
      </c>
      <c r="BC280" s="10">
        <f t="shared" si="97"/>
        <v>-0.07397987035651914</v>
      </c>
    </row>
    <row r="281" spans="49:55" ht="12.75">
      <c r="AW281">
        <v>11</v>
      </c>
      <c r="AX281">
        <v>6</v>
      </c>
      <c r="AY281" s="10">
        <f>E143</f>
        <v>1.31</v>
      </c>
      <c r="AZ281" s="10">
        <f>AR143</f>
        <v>1.567651064909265</v>
      </c>
      <c r="BA281" s="10">
        <f t="shared" si="96"/>
        <v>0.2576510649092649</v>
      </c>
      <c r="BB281" s="24">
        <f t="shared" si="102"/>
        <v>0.06638407124887825</v>
      </c>
      <c r="BC281" s="10">
        <f t="shared" si="97"/>
        <v>0.009542632033676479</v>
      </c>
    </row>
    <row r="282" spans="49:55" ht="12.75">
      <c r="AW282">
        <v>11</v>
      </c>
      <c r="AX282">
        <v>7</v>
      </c>
      <c r="AY282" s="10">
        <f>E144</f>
        <v>1.73</v>
      </c>
      <c r="AZ282" s="10">
        <f>AR144</f>
        <v>2.9876468068851048</v>
      </c>
      <c r="BA282" s="10">
        <f t="shared" si="96"/>
        <v>1.2576468068851048</v>
      </c>
      <c r="BB282" s="24">
        <f t="shared" si="102"/>
        <v>1.5816754908683</v>
      </c>
      <c r="BC282" s="10">
        <f t="shared" si="97"/>
        <v>0.04657951136611499</v>
      </c>
    </row>
    <row r="283" spans="49:55" ht="12.75">
      <c r="AW283">
        <v>11</v>
      </c>
      <c r="AX283">
        <v>5</v>
      </c>
      <c r="AY283" s="10">
        <f>F142</f>
        <v>12.82</v>
      </c>
      <c r="AZ283" s="10">
        <f>AS142</f>
        <v>13.05615206253978</v>
      </c>
      <c r="BA283" s="10">
        <f t="shared" si="96"/>
        <v>0.23615206253978016</v>
      </c>
      <c r="BB283" s="24">
        <f t="shared" si="102"/>
        <v>0.05576779664179224</v>
      </c>
      <c r="BC283" s="10">
        <f t="shared" si="97"/>
        <v>0.008746372686658524</v>
      </c>
    </row>
    <row r="284" spans="49:55" ht="12.75">
      <c r="AW284">
        <v>11</v>
      </c>
      <c r="AX284">
        <v>6</v>
      </c>
      <c r="AY284" s="10">
        <f>F143</f>
        <v>4.13</v>
      </c>
      <c r="AZ284" s="10">
        <f>AS143</f>
        <v>2.389641889530183</v>
      </c>
      <c r="BA284" s="10">
        <f t="shared" si="96"/>
        <v>-1.740358110469817</v>
      </c>
      <c r="BB284" s="24">
        <f t="shared" si="102"/>
        <v>3.0288463526780713</v>
      </c>
      <c r="BC284" s="10">
        <f t="shared" si="97"/>
        <v>-0.0644577077951784</v>
      </c>
    </row>
    <row r="285" spans="49:55" ht="12.75">
      <c r="AW285">
        <v>11</v>
      </c>
      <c r="AX285">
        <v>7</v>
      </c>
      <c r="AY285" s="10">
        <f>F144</f>
        <v>3.05</v>
      </c>
      <c r="AZ285" s="10">
        <f>AS144</f>
        <v>4.5542060479300375</v>
      </c>
      <c r="BA285" s="10">
        <f t="shared" si="96"/>
        <v>1.5042060479300376</v>
      </c>
      <c r="BB285" s="24">
        <f t="shared" si="102"/>
        <v>2.2626358346293025</v>
      </c>
      <c r="BC285" s="10">
        <f t="shared" si="97"/>
        <v>0.055711335108519916</v>
      </c>
    </row>
    <row r="286" spans="49:55" ht="12.75">
      <c r="AW286">
        <v>11</v>
      </c>
      <c r="AX286">
        <v>6</v>
      </c>
      <c r="AY286" s="10">
        <f>G143</f>
        <v>8.27</v>
      </c>
      <c r="AZ286" s="10">
        <f>AT143</f>
        <v>10.241150668509277</v>
      </c>
      <c r="BA286" s="10">
        <f aca="true" t="shared" si="107" ref="BA286:BA313">AZ286-AY286</f>
        <v>1.971150668509278</v>
      </c>
      <c r="BB286" s="24">
        <f t="shared" si="102"/>
        <v>3.885434957964573</v>
      </c>
      <c r="BC286" s="10">
        <f aca="true" t="shared" si="108" ref="BC286:BC313">BA286/27</f>
        <v>0.07300558031515844</v>
      </c>
    </row>
    <row r="287" spans="49:55" ht="12.75">
      <c r="AW287">
        <v>11</v>
      </c>
      <c r="AX287">
        <v>7</v>
      </c>
      <c r="AY287" s="10">
        <f>G144</f>
        <v>11.73</v>
      </c>
      <c r="AZ287" s="10">
        <f>AT144</f>
        <v>9.758849331490723</v>
      </c>
      <c r="BA287" s="10">
        <f t="shared" si="107"/>
        <v>-1.971150668509278</v>
      </c>
      <c r="BB287" s="24">
        <f t="shared" si="102"/>
        <v>3.885434957964573</v>
      </c>
      <c r="BC287" s="10">
        <f t="shared" si="108"/>
        <v>-0.07300558031515844</v>
      </c>
    </row>
    <row r="288" spans="49:56" ht="12.75">
      <c r="AW288">
        <v>12</v>
      </c>
      <c r="AX288">
        <v>2</v>
      </c>
      <c r="AY288" s="10">
        <f aca="true" t="shared" si="109" ref="AY288:AY293">B152</f>
        <v>4.34</v>
      </c>
      <c r="AZ288" s="10">
        <f aca="true" t="shared" si="110" ref="AZ288:AZ293">AO152</f>
        <v>5.023685833111704</v>
      </c>
      <c r="BA288" s="10">
        <f t="shared" si="107"/>
        <v>0.6836858331117037</v>
      </c>
      <c r="BB288" s="24">
        <f t="shared" si="102"/>
        <v>0.46742631839764437</v>
      </c>
      <c r="BC288" s="10">
        <f t="shared" si="108"/>
        <v>0.025321697522655694</v>
      </c>
      <c r="BD288" s="10"/>
    </row>
    <row r="289" spans="49:56" ht="12.75">
      <c r="AW289">
        <v>12</v>
      </c>
      <c r="AX289">
        <v>3</v>
      </c>
      <c r="AY289" s="10">
        <f t="shared" si="109"/>
        <v>1.72</v>
      </c>
      <c r="AZ289" s="10">
        <f t="shared" si="110"/>
        <v>2.4142181643004164</v>
      </c>
      <c r="BA289" s="10">
        <f t="shared" si="107"/>
        <v>0.6942181643004164</v>
      </c>
      <c r="BB289" s="24">
        <f t="shared" si="102"/>
        <v>0.4819388596446399</v>
      </c>
      <c r="BC289" s="10">
        <f t="shared" si="108"/>
        <v>0.025711783862978385</v>
      </c>
      <c r="BD289" s="10"/>
    </row>
    <row r="290" spans="49:56" ht="12.75">
      <c r="AW290">
        <v>12</v>
      </c>
      <c r="AX290">
        <v>4</v>
      </c>
      <c r="AY290" s="10">
        <f t="shared" si="109"/>
        <v>1.85</v>
      </c>
      <c r="AZ290" s="10">
        <f t="shared" si="110"/>
        <v>1.6656406897348268</v>
      </c>
      <c r="BA290" s="10">
        <f t="shared" si="107"/>
        <v>-0.18435931026517327</v>
      </c>
      <c r="BB290" s="24">
        <f t="shared" si="102"/>
        <v>0.03398835528145042</v>
      </c>
      <c r="BC290" s="10">
        <f t="shared" si="108"/>
        <v>-0.006828122602413825</v>
      </c>
      <c r="BD290" s="10"/>
    </row>
    <row r="291" spans="49:56" ht="12.75">
      <c r="AW291">
        <v>12</v>
      </c>
      <c r="AX291">
        <v>5</v>
      </c>
      <c r="AY291" s="10">
        <f t="shared" si="109"/>
        <v>1.93</v>
      </c>
      <c r="AZ291" s="10">
        <f t="shared" si="110"/>
        <v>1.775592302891306</v>
      </c>
      <c r="BA291" s="10">
        <f t="shared" si="107"/>
        <v>-0.15440769710869384</v>
      </c>
      <c r="BB291" s="24">
        <f t="shared" si="102"/>
        <v>0.023841736926410142</v>
      </c>
      <c r="BC291" s="10">
        <f t="shared" si="108"/>
        <v>-0.00571880359661829</v>
      </c>
      <c r="BD291" s="10"/>
    </row>
    <row r="292" spans="49:55" ht="12.75">
      <c r="AW292">
        <v>12</v>
      </c>
      <c r="AX292">
        <v>6</v>
      </c>
      <c r="AY292" s="10">
        <f t="shared" si="109"/>
        <v>0.29</v>
      </c>
      <c r="AZ292" s="10">
        <f t="shared" si="110"/>
        <v>0.7845027275369514</v>
      </c>
      <c r="BA292" s="10">
        <f t="shared" si="107"/>
        <v>0.4945027275369514</v>
      </c>
      <c r="BB292" s="24">
        <f t="shared" si="102"/>
        <v>0.24453294754148439</v>
      </c>
      <c r="BC292" s="10">
        <f t="shared" si="108"/>
        <v>0.018314915834701902</v>
      </c>
    </row>
    <row r="293" spans="49:55" ht="12.75">
      <c r="AW293">
        <v>12</v>
      </c>
      <c r="AX293">
        <v>7</v>
      </c>
      <c r="AY293" s="10">
        <f t="shared" si="109"/>
        <v>2.81</v>
      </c>
      <c r="AZ293" s="10">
        <f t="shared" si="110"/>
        <v>1.2763602824247977</v>
      </c>
      <c r="BA293" s="10">
        <f t="shared" si="107"/>
        <v>-1.5336397175752023</v>
      </c>
      <c r="BB293" s="24">
        <f t="shared" si="102"/>
        <v>2.352050783324146</v>
      </c>
      <c r="BC293" s="10">
        <f t="shared" si="108"/>
        <v>-0.05680147102130379</v>
      </c>
    </row>
    <row r="294" spans="49:55" ht="12.75">
      <c r="AW294">
        <v>12</v>
      </c>
      <c r="AX294">
        <v>2</v>
      </c>
      <c r="AY294" s="10">
        <f aca="true" t="shared" si="111" ref="AY294:AY299">C152</f>
        <v>11.87</v>
      </c>
      <c r="AZ294" s="10">
        <f aca="true" t="shared" si="112" ref="AZ294:AZ299">AP152</f>
        <v>11.1863141668883</v>
      </c>
      <c r="BA294" s="10">
        <f t="shared" si="107"/>
        <v>-0.6836858331116993</v>
      </c>
      <c r="BB294" s="24">
        <f t="shared" si="102"/>
        <v>0.4674263183976383</v>
      </c>
      <c r="BC294" s="10">
        <f t="shared" si="108"/>
        <v>-0.02532169752265553</v>
      </c>
    </row>
    <row r="295" spans="49:55" ht="12.75">
      <c r="AW295">
        <v>12</v>
      </c>
      <c r="AX295">
        <v>3</v>
      </c>
      <c r="AY295" s="10">
        <f t="shared" si="111"/>
        <v>2.12</v>
      </c>
      <c r="AZ295" s="10">
        <f t="shared" si="112"/>
        <v>2.6878873152528535</v>
      </c>
      <c r="BA295" s="10">
        <f t="shared" si="107"/>
        <v>0.5678873152528534</v>
      </c>
      <c r="BB295" s="24">
        <f t="shared" si="102"/>
        <v>0.3224960028250937</v>
      </c>
      <c r="BC295" s="10">
        <f t="shared" si="108"/>
        <v>0.021032863527883458</v>
      </c>
    </row>
    <row r="296" spans="49:55" ht="12.75">
      <c r="AW296">
        <v>12</v>
      </c>
      <c r="AX296">
        <v>4</v>
      </c>
      <c r="AY296" s="10">
        <f t="shared" si="111"/>
        <v>1.28</v>
      </c>
      <c r="AZ296" s="10">
        <f t="shared" si="112"/>
        <v>1.8544531508835684</v>
      </c>
      <c r="BA296" s="10">
        <f t="shared" si="107"/>
        <v>0.5744531508835684</v>
      </c>
      <c r="BB296" s="24">
        <f t="shared" si="102"/>
        <v>0.3299964225600598</v>
      </c>
      <c r="BC296" s="10">
        <f t="shared" si="108"/>
        <v>0.02127604262531735</v>
      </c>
    </row>
    <row r="297" spans="49:55" ht="12.75">
      <c r="AW297">
        <v>12</v>
      </c>
      <c r="AX297">
        <v>5</v>
      </c>
      <c r="AY297" s="10">
        <f t="shared" si="111"/>
        <v>1.21</v>
      </c>
      <c r="AZ297" s="10">
        <f t="shared" si="112"/>
        <v>1.976868577403455</v>
      </c>
      <c r="BA297" s="10">
        <f t="shared" si="107"/>
        <v>0.7668685774034549</v>
      </c>
      <c r="BB297" s="24">
        <f t="shared" si="102"/>
        <v>0.5880874150087988</v>
      </c>
      <c r="BC297" s="10">
        <f t="shared" si="108"/>
        <v>0.028402539903831663</v>
      </c>
    </row>
    <row r="298" spans="49:55" ht="12.75">
      <c r="AW298">
        <v>12</v>
      </c>
      <c r="AX298">
        <v>6</v>
      </c>
      <c r="AY298" s="10">
        <f t="shared" si="111"/>
        <v>1.2</v>
      </c>
      <c r="AZ298" s="10">
        <f t="shared" si="112"/>
        <v>0.8734318055049821</v>
      </c>
      <c r="BA298" s="10">
        <f t="shared" si="107"/>
        <v>-0.32656819449501784</v>
      </c>
      <c r="BB298" s="24">
        <f t="shared" si="102"/>
        <v>0.10664678565573579</v>
      </c>
      <c r="BC298" s="10">
        <f t="shared" si="108"/>
        <v>-0.01209511831463029</v>
      </c>
    </row>
    <row r="299" spans="49:55" ht="12.75">
      <c r="AW299">
        <v>12</v>
      </c>
      <c r="AX299">
        <v>7</v>
      </c>
      <c r="AY299" s="10">
        <f t="shared" si="111"/>
        <v>2.32</v>
      </c>
      <c r="AZ299" s="10">
        <f t="shared" si="112"/>
        <v>1.4210449840668407</v>
      </c>
      <c r="BA299" s="10">
        <f t="shared" si="107"/>
        <v>-0.8989550159331592</v>
      </c>
      <c r="BB299" s="24">
        <f t="shared" si="102"/>
        <v>0.8081201206713865</v>
      </c>
      <c r="BC299" s="10">
        <f t="shared" si="108"/>
        <v>-0.033294630219746636</v>
      </c>
    </row>
    <row r="300" spans="49:55" ht="12.75">
      <c r="AW300">
        <v>12</v>
      </c>
      <c r="AX300">
        <v>3</v>
      </c>
      <c r="AY300" s="10">
        <f>D153</f>
        <v>10.61</v>
      </c>
      <c r="AZ300" s="10">
        <f>AQ153</f>
        <v>9.347894520446719</v>
      </c>
      <c r="BA300" s="10">
        <f t="shared" si="107"/>
        <v>-1.2621054795532807</v>
      </c>
      <c r="BB300" s="24">
        <f t="shared" si="102"/>
        <v>1.5929102415184166</v>
      </c>
      <c r="BC300" s="10">
        <f t="shared" si="108"/>
        <v>-0.046744647390862246</v>
      </c>
    </row>
    <row r="301" spans="49:55" ht="12.75">
      <c r="AW301">
        <v>12</v>
      </c>
      <c r="AX301">
        <v>4</v>
      </c>
      <c r="AY301" s="10">
        <f>D154</f>
        <v>4.08</v>
      </c>
      <c r="AZ301" s="10">
        <f>AQ154</f>
        <v>3.2246947908117423</v>
      </c>
      <c r="BA301" s="10">
        <f t="shared" si="107"/>
        <v>-0.8553052091882578</v>
      </c>
      <c r="BB301" s="24">
        <f t="shared" si="102"/>
        <v>0.7315470008645695</v>
      </c>
      <c r="BC301" s="10">
        <f t="shared" si="108"/>
        <v>-0.03167797071067621</v>
      </c>
    </row>
    <row r="302" spans="49:55" ht="12.75">
      <c r="AW302">
        <v>12</v>
      </c>
      <c r="AX302">
        <v>5</v>
      </c>
      <c r="AY302" s="10">
        <f>D155</f>
        <v>1.56</v>
      </c>
      <c r="AZ302" s="10">
        <f>AQ155</f>
        <v>3.4375620654719774</v>
      </c>
      <c r="BA302" s="10">
        <f t="shared" si="107"/>
        <v>1.8775620654719773</v>
      </c>
      <c r="BB302" s="24">
        <f t="shared" si="102"/>
        <v>3.5252393096993977</v>
      </c>
      <c r="BC302" s="10">
        <f t="shared" si="108"/>
        <v>0.06953933575822138</v>
      </c>
    </row>
    <row r="303" spans="49:55" ht="12.75">
      <c r="AW303">
        <v>12</v>
      </c>
      <c r="AX303">
        <v>6</v>
      </c>
      <c r="AY303" s="10">
        <f>D156</f>
        <v>1.53</v>
      </c>
      <c r="AZ303" s="10">
        <f>AQ156</f>
        <v>1.5188040700835408</v>
      </c>
      <c r="BA303" s="10">
        <f t="shared" si="107"/>
        <v>-0.011195929916459235</v>
      </c>
      <c r="BB303" s="24">
        <f t="shared" si="102"/>
        <v>0.0001253488466942669</v>
      </c>
      <c r="BC303" s="10">
        <f t="shared" si="108"/>
        <v>-0.00041466407097997166</v>
      </c>
    </row>
    <row r="304" spans="49:55" ht="12.75">
      <c r="AW304">
        <v>12</v>
      </c>
      <c r="AX304">
        <v>7</v>
      </c>
      <c r="AY304" s="10">
        <f>D157</f>
        <v>2.22</v>
      </c>
      <c r="AZ304" s="10">
        <f>AQ157</f>
        <v>2.47104455318602</v>
      </c>
      <c r="BA304" s="10">
        <f t="shared" si="107"/>
        <v>0.2510445531860199</v>
      </c>
      <c r="BB304" s="24">
        <f t="shared" si="102"/>
        <v>0.06302336768436839</v>
      </c>
      <c r="BC304" s="10">
        <f t="shared" si="108"/>
        <v>0.009297946414297034</v>
      </c>
    </row>
    <row r="305" spans="49:55" ht="12.75">
      <c r="AW305">
        <v>12</v>
      </c>
      <c r="AX305">
        <v>4</v>
      </c>
      <c r="AY305" s="10">
        <f>E154</f>
        <v>8.83</v>
      </c>
      <c r="AZ305" s="10">
        <f>AR154</f>
        <v>9.295211368569817</v>
      </c>
      <c r="BA305" s="10">
        <f t="shared" si="107"/>
        <v>0.4652113685698165</v>
      </c>
      <c r="BB305" s="24">
        <f t="shared" si="102"/>
        <v>0.21642161744660163</v>
      </c>
      <c r="BC305" s="10">
        <f t="shared" si="108"/>
        <v>0.01723005068777098</v>
      </c>
    </row>
    <row r="306" spans="49:55" ht="12.75">
      <c r="AW306">
        <v>12</v>
      </c>
      <c r="AX306">
        <v>5</v>
      </c>
      <c r="AY306" s="10">
        <f>E155</f>
        <v>5.13</v>
      </c>
      <c r="AZ306" s="10">
        <f>AR155</f>
        <v>4.95440158897892</v>
      </c>
      <c r="BA306" s="10">
        <f t="shared" si="107"/>
        <v>-0.1755984110210802</v>
      </c>
      <c r="BB306" s="24">
        <f t="shared" si="102"/>
        <v>0.03083480195312822</v>
      </c>
      <c r="BC306" s="10">
        <f t="shared" si="108"/>
        <v>-0.0065036448526326</v>
      </c>
    </row>
    <row r="307" spans="49:55" ht="12.75">
      <c r="AW307">
        <v>12</v>
      </c>
      <c r="AX307">
        <v>6</v>
      </c>
      <c r="AY307" s="10">
        <f>E156</f>
        <v>2.22</v>
      </c>
      <c r="AZ307" s="10">
        <f>AR156</f>
        <v>2.188983109207191</v>
      </c>
      <c r="BA307" s="10">
        <f t="shared" si="107"/>
        <v>-0.031016890792809004</v>
      </c>
      <c r="BB307" s="24">
        <f t="shared" si="102"/>
        <v>0.00096204751445304</v>
      </c>
      <c r="BC307" s="10">
        <f t="shared" si="108"/>
        <v>-0.0011487737330670002</v>
      </c>
    </row>
    <row r="308" spans="49:55" ht="12.75">
      <c r="AW308">
        <v>12</v>
      </c>
      <c r="AX308">
        <v>7</v>
      </c>
      <c r="AY308" s="10">
        <f>E157</f>
        <v>3.82</v>
      </c>
      <c r="AZ308" s="10">
        <f>AR157</f>
        <v>3.561403933244073</v>
      </c>
      <c r="BA308" s="10">
        <f t="shared" si="107"/>
        <v>-0.25859606675592683</v>
      </c>
      <c r="BB308" s="24">
        <f t="shared" si="102"/>
        <v>0.06687192574163577</v>
      </c>
      <c r="BC308" s="10">
        <f t="shared" si="108"/>
        <v>-0.009577632102071364</v>
      </c>
    </row>
    <row r="309" spans="49:55" ht="12.75">
      <c r="AW309">
        <v>12</v>
      </c>
      <c r="AX309">
        <v>5</v>
      </c>
      <c r="AY309" s="10">
        <f>F155</f>
        <v>14.97</v>
      </c>
      <c r="AZ309" s="10">
        <f>AS155</f>
        <v>12.655575465254124</v>
      </c>
      <c r="BA309" s="10">
        <f t="shared" si="107"/>
        <v>-2.3144245347458767</v>
      </c>
      <c r="BB309" s="24">
        <f t="shared" si="102"/>
        <v>5.356560927033668</v>
      </c>
      <c r="BC309" s="10">
        <f t="shared" si="108"/>
        <v>-0.08571942721281024</v>
      </c>
    </row>
    <row r="310" spans="49:55" ht="12.75">
      <c r="AW310">
        <v>12</v>
      </c>
      <c r="AX310">
        <v>6</v>
      </c>
      <c r="AY310" s="10">
        <f>F156</f>
        <v>2.04</v>
      </c>
      <c r="AZ310" s="10">
        <f>AS156</f>
        <v>2.79578072479664</v>
      </c>
      <c r="BA310" s="10">
        <f t="shared" si="107"/>
        <v>0.7557807247966402</v>
      </c>
      <c r="BB310" s="24">
        <f t="shared" si="102"/>
        <v>0.5712045039741347</v>
      </c>
      <c r="BC310" s="10">
        <f t="shared" si="108"/>
        <v>0.027991878696171858</v>
      </c>
    </row>
    <row r="311" spans="49:55" ht="12.75">
      <c r="AW311">
        <v>12</v>
      </c>
      <c r="AX311">
        <v>7</v>
      </c>
      <c r="AY311" s="10">
        <f>F157</f>
        <v>2.99</v>
      </c>
      <c r="AZ311" s="10">
        <f>AS157</f>
        <v>4.548643809949235</v>
      </c>
      <c r="BA311" s="10">
        <f t="shared" si="107"/>
        <v>1.5586438099492348</v>
      </c>
      <c r="BB311" s="24">
        <f t="shared" si="102"/>
        <v>2.4293705262930665</v>
      </c>
      <c r="BC311" s="10">
        <f t="shared" si="108"/>
        <v>0.057727548516638326</v>
      </c>
    </row>
    <row r="312" spans="49:55" ht="12.75">
      <c r="AW312">
        <v>12</v>
      </c>
      <c r="AX312">
        <v>6</v>
      </c>
      <c r="AY312" s="10">
        <f>G156</f>
        <v>11.91</v>
      </c>
      <c r="AZ312" s="10">
        <f>AT156</f>
        <v>11.028497562869942</v>
      </c>
      <c r="BA312" s="10">
        <f t="shared" si="107"/>
        <v>-0.8815024371300577</v>
      </c>
      <c r="BB312" s="24">
        <f t="shared" si="102"/>
        <v>0.7770465466662314</v>
      </c>
      <c r="BC312" s="10">
        <f t="shared" si="108"/>
        <v>-0.03264823841222436</v>
      </c>
    </row>
    <row r="313" spans="49:55" ht="12.75">
      <c r="AW313">
        <v>12</v>
      </c>
      <c r="AX313">
        <v>7</v>
      </c>
      <c r="AY313" s="10">
        <f>G157</f>
        <v>8.09</v>
      </c>
      <c r="AZ313" s="10">
        <f>AT157</f>
        <v>8.971502437130058</v>
      </c>
      <c r="BA313" s="10">
        <f t="shared" si="107"/>
        <v>0.8815024371300577</v>
      </c>
      <c r="BB313" s="24">
        <f t="shared" si="102"/>
        <v>0.7770465466662314</v>
      </c>
      <c r="BC313" s="10">
        <f t="shared" si="108"/>
        <v>0.03264823841222436</v>
      </c>
    </row>
  </sheetData>
  <autoFilter ref="AW1:BC313"/>
  <printOptions horizontalCentered="1" verticalCentered="1"/>
  <pageMargins left="0.75" right="0.51" top="0.62" bottom="0.58" header="0.5" footer="0.5"/>
  <pageSetup horizontalDpi="300" verticalDpi="300" orientation="landscape" paperSize="9" scale="52" r:id="rId2"/>
  <rowBreaks count="1" manualBreakCount="1">
    <brk id="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U12" sqref="U12"/>
    </sheetView>
  </sheetViews>
  <sheetFormatPr defaultColWidth="9.140625" defaultRowHeight="12.75"/>
  <cols>
    <col min="1" max="1" width="11.57421875" style="0" customWidth="1"/>
    <col min="2" max="3" width="8.7109375" style="0" customWidth="1"/>
    <col min="6" max="6" width="2.7109375" style="0" customWidth="1"/>
    <col min="14" max="14" width="3.00390625" style="0" customWidth="1"/>
    <col min="15" max="15" width="12.7109375" style="0" customWidth="1"/>
  </cols>
  <sheetData>
    <row r="1" spans="2:6" ht="12.75">
      <c r="B1" s="2"/>
      <c r="D1" s="18"/>
      <c r="E1" s="20"/>
      <c r="F1" s="19"/>
    </row>
    <row r="2" spans="1:21" ht="12.75">
      <c r="A2" s="2" t="s">
        <v>74</v>
      </c>
      <c r="F2" s="19"/>
      <c r="N2" s="19"/>
      <c r="O2" s="29" t="s">
        <v>66</v>
      </c>
      <c r="P2" s="19"/>
      <c r="Q2" s="19"/>
      <c r="R2" s="19"/>
      <c r="S2" s="19"/>
      <c r="T2" s="19"/>
      <c r="U2" s="19"/>
    </row>
    <row r="3" spans="1:13" ht="12.75">
      <c r="A3" s="3"/>
      <c r="B3" s="3"/>
      <c r="C3" s="3"/>
      <c r="D3" s="12"/>
      <c r="E3" s="3"/>
      <c r="G3" t="s">
        <v>75</v>
      </c>
      <c r="H3" s="19"/>
      <c r="I3" s="19"/>
      <c r="J3" s="19"/>
      <c r="K3" s="19"/>
      <c r="L3" s="19"/>
      <c r="M3" s="19"/>
    </row>
    <row r="4" spans="1:21" ht="15.75">
      <c r="A4" s="4" t="s">
        <v>1</v>
      </c>
      <c r="B4" s="4" t="s">
        <v>65</v>
      </c>
      <c r="C4" s="4" t="s">
        <v>57</v>
      </c>
      <c r="D4" s="4" t="s">
        <v>56</v>
      </c>
      <c r="E4" s="4" t="s">
        <v>14</v>
      </c>
      <c r="F4" s="4"/>
      <c r="G4" s="33" t="s">
        <v>67</v>
      </c>
      <c r="H4" s="31" t="s">
        <v>63</v>
      </c>
      <c r="I4" s="31"/>
      <c r="J4" s="31"/>
      <c r="K4" s="31"/>
      <c r="L4" s="31"/>
      <c r="M4" s="31"/>
      <c r="N4" s="4"/>
      <c r="O4" s="33" t="s">
        <v>76</v>
      </c>
      <c r="P4" s="31" t="s">
        <v>63</v>
      </c>
      <c r="Q4" s="31"/>
      <c r="R4" s="31"/>
      <c r="S4" s="31"/>
      <c r="T4" s="31"/>
      <c r="U4" s="31"/>
    </row>
    <row r="5" spans="1:21" ht="12.75">
      <c r="A5" s="7" t="s">
        <v>6</v>
      </c>
      <c r="B5" s="7" t="s">
        <v>63</v>
      </c>
      <c r="C5" s="7" t="s">
        <v>64</v>
      </c>
      <c r="D5" s="7" t="s">
        <v>64</v>
      </c>
      <c r="E5" s="7" t="s">
        <v>64</v>
      </c>
      <c r="F5" s="15"/>
      <c r="G5" s="32" t="s">
        <v>68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15"/>
      <c r="O5" s="32" t="s">
        <v>68</v>
      </c>
      <c r="P5" s="7">
        <v>1</v>
      </c>
      <c r="Q5" s="7">
        <v>2</v>
      </c>
      <c r="R5" s="7">
        <v>3</v>
      </c>
      <c r="S5" s="7">
        <v>4</v>
      </c>
      <c r="T5" s="7">
        <v>5</v>
      </c>
      <c r="U5" s="7">
        <v>6</v>
      </c>
    </row>
    <row r="6" spans="1:21" ht="12.75">
      <c r="A6" s="30" t="s">
        <v>58</v>
      </c>
      <c r="B6" s="30">
        <v>1</v>
      </c>
      <c r="C6" s="10">
        <v>20</v>
      </c>
      <c r="D6" s="11">
        <v>6.55</v>
      </c>
      <c r="E6" s="11">
        <f>C6-D6</f>
        <v>13.45</v>
      </c>
      <c r="F6" s="11"/>
      <c r="G6" s="4">
        <v>1</v>
      </c>
      <c r="H6" s="34"/>
      <c r="I6" s="34"/>
      <c r="J6" s="34"/>
      <c r="K6" s="34"/>
      <c r="L6" s="34"/>
      <c r="M6" s="34"/>
      <c r="N6" s="11"/>
      <c r="O6" s="4">
        <v>1</v>
      </c>
      <c r="P6" s="9">
        <f>C6-H7-H8-H9-H10-H11-H12</f>
        <v>6.550000000000001</v>
      </c>
      <c r="Q6" s="10"/>
      <c r="R6" s="10"/>
      <c r="S6" s="10"/>
      <c r="T6" s="10"/>
      <c r="U6" s="10"/>
    </row>
    <row r="7" spans="1:21" ht="12.75">
      <c r="A7" s="30" t="s">
        <v>59</v>
      </c>
      <c r="B7" s="30">
        <v>2</v>
      </c>
      <c r="C7" s="10">
        <v>20</v>
      </c>
      <c r="D7" s="11">
        <v>16.15</v>
      </c>
      <c r="E7" s="11">
        <f>E6+C7-D7</f>
        <v>17.300000000000004</v>
      </c>
      <c r="F7" s="11"/>
      <c r="G7" s="4">
        <v>2</v>
      </c>
      <c r="H7" s="10">
        <f>(-H17-SQRT(H17^2-4*H16*H18))/(2*H16)</f>
        <v>9.285285019720813</v>
      </c>
      <c r="I7" s="35"/>
      <c r="J7" s="35"/>
      <c r="K7" s="35"/>
      <c r="L7" s="35"/>
      <c r="M7" s="35"/>
      <c r="N7" s="11"/>
      <c r="O7" s="4">
        <v>2</v>
      </c>
      <c r="P7" s="10">
        <f>H7-H8-H9-H10-H11-H12</f>
        <v>5.120570039441628</v>
      </c>
      <c r="Q7" s="9">
        <f>C7-I8-I9-I10-I11-I12</f>
        <v>11.029429960558367</v>
      </c>
      <c r="R7" s="10"/>
      <c r="S7" s="10"/>
      <c r="T7" s="10"/>
      <c r="U7" s="10"/>
    </row>
    <row r="8" spans="1:21" ht="12.75">
      <c r="A8" s="30" t="s">
        <v>60</v>
      </c>
      <c r="B8" s="30">
        <v>3</v>
      </c>
      <c r="C8" s="10">
        <v>20</v>
      </c>
      <c r="D8" s="11">
        <v>11.32</v>
      </c>
      <c r="E8" s="11">
        <f>E7+C8-D8</f>
        <v>25.980000000000004</v>
      </c>
      <c r="F8" s="11"/>
      <c r="G8" s="4">
        <v>3</v>
      </c>
      <c r="H8" s="10">
        <f>(-I17-SQRT(I17^2-4*I16*I18))/(2*I16)</f>
        <v>2.5547079091235463</v>
      </c>
      <c r="I8" s="10">
        <f>C7*H8/H7</f>
        <v>5.5027021867345125</v>
      </c>
      <c r="J8" s="35"/>
      <c r="K8" s="35"/>
      <c r="L8" s="35"/>
      <c r="M8" s="35"/>
      <c r="N8" s="11"/>
      <c r="O8" s="4">
        <v>3</v>
      </c>
      <c r="P8" s="10">
        <f>2*(H8-H9-H10-H11-H12)</f>
        <v>1.8894016759358134</v>
      </c>
      <c r="Q8" s="10">
        <f>I8-I9-I10-I11-I12</f>
        <v>2.0348343340273938</v>
      </c>
      <c r="R8" s="9">
        <f>C7-J9-J10-J11-J12</f>
        <v>7.395763990036802</v>
      </c>
      <c r="S8" s="10"/>
      <c r="T8" s="10"/>
      <c r="U8" s="10"/>
    </row>
    <row r="9" spans="1:21" ht="12.75">
      <c r="A9" s="30" t="s">
        <v>61</v>
      </c>
      <c r="B9" s="30">
        <v>4</v>
      </c>
      <c r="C9" s="10">
        <v>20</v>
      </c>
      <c r="D9" s="11">
        <v>15.12</v>
      </c>
      <c r="E9" s="11">
        <f>E8+C9-D9</f>
        <v>30.860000000000007</v>
      </c>
      <c r="F9" s="11"/>
      <c r="G9" s="4">
        <v>4</v>
      </c>
      <c r="H9" s="10">
        <f>(-J17-SQRT(J17^2-4*J16*J18))/(2*J16)</f>
        <v>1.016055652344937</v>
      </c>
      <c r="I9" s="10">
        <f>I8*H9/H8</f>
        <v>2.188528731615581</v>
      </c>
      <c r="J9" s="10">
        <f>C8*H9/H8</f>
        <v>7.954378257618651</v>
      </c>
      <c r="K9" s="35"/>
      <c r="L9" s="35"/>
      <c r="M9" s="35"/>
      <c r="N9" s="11"/>
      <c r="O9" s="4">
        <v>4</v>
      </c>
      <c r="P9" s="10">
        <f>4*(H9-H10-H11-H12)</f>
        <v>1.6884169341369386</v>
      </c>
      <c r="Q9" s="10">
        <f>2*(I9-I10-I11-I12)</f>
        <v>1.8183792210480858</v>
      </c>
      <c r="R9" s="10">
        <f>J9-J10-J11-J12</f>
        <v>3.304520505274105</v>
      </c>
      <c r="S9" s="9">
        <f>C8-K10-K11-K12</f>
        <v>8.308683339540853</v>
      </c>
      <c r="T9" s="10"/>
      <c r="U9" s="10"/>
    </row>
    <row r="10" spans="1:21" ht="12.75">
      <c r="A10" s="30" t="s">
        <v>62</v>
      </c>
      <c r="B10" s="30">
        <v>5</v>
      </c>
      <c r="C10" s="10">
        <v>20</v>
      </c>
      <c r="D10" s="11">
        <v>17.95</v>
      </c>
      <c r="E10" s="11">
        <f>E9+C10-D10</f>
        <v>32.91000000000001</v>
      </c>
      <c r="F10" s="11"/>
      <c r="G10" s="4">
        <v>5</v>
      </c>
      <c r="H10" s="10">
        <f>(-K17-SQRT(K17^2-4*K16*K18))/(2*K16)</f>
        <v>0.3831438488409343</v>
      </c>
      <c r="I10" s="10">
        <f>C7*H10/H7</f>
        <v>0.8252710563589237</v>
      </c>
      <c r="J10" s="10">
        <f>C8*H10/H8</f>
        <v>2.9995119792178584</v>
      </c>
      <c r="K10" s="10">
        <f>C9*H10/H9</f>
        <v>7.541788640350227</v>
      </c>
      <c r="L10" s="35"/>
      <c r="M10" s="35"/>
      <c r="N10" s="11"/>
      <c r="O10" s="4">
        <v>5</v>
      </c>
      <c r="P10" s="10">
        <f>8*(H10-H11-H12)</f>
        <v>1.378690230969329</v>
      </c>
      <c r="Q10" s="10">
        <f>4*(I10-I11-I12)</f>
        <v>1.4848119665052377</v>
      </c>
      <c r="R10" s="10">
        <f>2*(J10-J11-J12)</f>
        <v>2.6983324121823404</v>
      </c>
      <c r="S10" s="10">
        <f>K10-K11-K12</f>
        <v>3.3922606202413066</v>
      </c>
      <c r="T10" s="9">
        <f>C9-L11-L12</f>
        <v>8.995904770101795</v>
      </c>
      <c r="U10" s="10"/>
    </row>
    <row r="11" spans="1:21" ht="12.75">
      <c r="A11" s="30" t="s">
        <v>12</v>
      </c>
      <c r="B11" s="30">
        <v>6</v>
      </c>
      <c r="C11" s="10">
        <v>20</v>
      </c>
      <c r="D11" s="11">
        <v>15.78</v>
      </c>
      <c r="E11" s="11">
        <f>E10+C11-D11</f>
        <v>37.13000000000001</v>
      </c>
      <c r="F11" s="11"/>
      <c r="G11" s="4">
        <v>6</v>
      </c>
      <c r="H11" s="10">
        <f>(-L17-SQRT(L17^2-4*L16*L18))/(2*L16)</f>
        <v>0.13095073490745987</v>
      </c>
      <c r="I11" s="10">
        <f>I10*H11/H10</f>
        <v>0.2820607760113696</v>
      </c>
      <c r="J11" s="10">
        <f>J10*H11/H10</f>
        <v>1.0251718753427719</v>
      </c>
      <c r="K11" s="10">
        <f>K10*H11/H10</f>
        <v>2.577629180158409</v>
      </c>
      <c r="L11" s="10">
        <f>C10*H11/H10</f>
        <v>6.835591139129852</v>
      </c>
      <c r="M11" s="35"/>
      <c r="N11" s="11"/>
      <c r="O11" s="4">
        <v>6</v>
      </c>
      <c r="P11" s="10">
        <f>16*(H11-H12)</f>
        <v>0.8175023975224249</v>
      </c>
      <c r="Q11" s="10">
        <f>8*(I11-I12)</f>
        <v>0.8804278983209992</v>
      </c>
      <c r="R11" s="10">
        <f>4*(J11-J12)</f>
        <v>1.5999919102354228</v>
      </c>
      <c r="S11" s="10">
        <f>2*(K11-K12)</f>
        <v>2.011460680415796</v>
      </c>
      <c r="T11" s="10">
        <f>L11-L12</f>
        <v>2.6670870483614975</v>
      </c>
      <c r="U11" s="9">
        <f>C10-M12</f>
        <v>7.803530065143741</v>
      </c>
    </row>
    <row r="12" spans="1:21" ht="12.75">
      <c r="A12" s="7" t="s">
        <v>13</v>
      </c>
      <c r="B12" s="7">
        <v>7</v>
      </c>
      <c r="C12" s="13"/>
      <c r="D12" s="14">
        <v>37.13</v>
      </c>
      <c r="E12" s="14"/>
      <c r="F12" s="22"/>
      <c r="G12" s="7">
        <v>7</v>
      </c>
      <c r="H12" s="13">
        <f>E6-H7-H8-H9-H10-H11</f>
        <v>0.07985683506230831</v>
      </c>
      <c r="I12" s="13">
        <f>I10*H12/H10</f>
        <v>0.17200728872124468</v>
      </c>
      <c r="J12" s="13">
        <f>J10*H12/H10</f>
        <v>0.6251738977839162</v>
      </c>
      <c r="K12" s="13">
        <f>K10*H12/H10</f>
        <v>1.571898839950511</v>
      </c>
      <c r="L12" s="13">
        <f>C10*H12/H10</f>
        <v>4.168504090768354</v>
      </c>
      <c r="M12" s="13">
        <f>C11*H12/H11</f>
        <v>12.196469934856259</v>
      </c>
      <c r="N12" s="22"/>
      <c r="O12" s="7">
        <v>7</v>
      </c>
      <c r="P12" s="13">
        <f>32*H12</f>
        <v>2.555418721993866</v>
      </c>
      <c r="Q12" s="13">
        <f>16*I12</f>
        <v>2.752116619539915</v>
      </c>
      <c r="R12" s="13">
        <f>8*J12</f>
        <v>5.0013911822713295</v>
      </c>
      <c r="S12" s="13">
        <f>4*K12</f>
        <v>6.287595359802044</v>
      </c>
      <c r="T12" s="13">
        <f>2*L12</f>
        <v>8.337008181536708</v>
      </c>
      <c r="U12" s="13">
        <f>M12</f>
        <v>12.196469934856259</v>
      </c>
    </row>
    <row r="15" spans="7:12" ht="15.75">
      <c r="G15" s="11"/>
      <c r="H15" s="4" t="s">
        <v>69</v>
      </c>
      <c r="I15" s="4" t="s">
        <v>70</v>
      </c>
      <c r="J15" s="4" t="s">
        <v>71</v>
      </c>
      <c r="K15" s="4" t="s">
        <v>72</v>
      </c>
      <c r="L15" s="4" t="s">
        <v>73</v>
      </c>
    </row>
    <row r="16" spans="7:12" ht="12.75">
      <c r="G16" s="21" t="s">
        <v>37</v>
      </c>
      <c r="H16" s="10">
        <f>-2</f>
        <v>-2</v>
      </c>
      <c r="I16" s="10">
        <f>-2*C7-4*H7</f>
        <v>-77.14114007888325</v>
      </c>
      <c r="J16" s="10">
        <f>-2*C8*H7-4*C7*H8-8*H7*H8</f>
        <v>-765.5575621454934</v>
      </c>
      <c r="K16" s="10">
        <f>-2*C9*H7*H8-4*C8*H7*H9-8*C7*H8*H9-16*H7*H8*H9</f>
        <v>-2504.545819560564</v>
      </c>
      <c r="L16" s="10">
        <f>-2*C10*H7*H8*H9-4*C9*H7*H8*H10-8*C8*H7*H9*H10-16*C7*H8*H9*H10-32*H7*H8*H9*H10</f>
        <v>-2883.2846608301693</v>
      </c>
    </row>
    <row r="17" spans="7:12" ht="12.75">
      <c r="G17" s="21" t="s">
        <v>38</v>
      </c>
      <c r="H17" s="10">
        <f>2*E6-C7-E7</f>
        <v>-10.400000000000006</v>
      </c>
      <c r="I17" s="10">
        <f>2*E6*C7+4*E6*H7-E8*H7-2*C7*H7-C8*H7-4*H7^2</f>
        <v>-105.66654352442282</v>
      </c>
      <c r="J17" s="10">
        <f>2*E6*C8*H7-2*C8*H7^2+4*E6*C7*H8+8*E6*H7*H8-E9*H7*H8-4*C7*H7*H8-2*C8*H7*H8-C9*H7*H8-8*H7^2*H8-4*C7*H8^2-8*H7*H8^2</f>
        <v>26.0933101861811</v>
      </c>
      <c r="K17" s="10">
        <f>2*E6*C9*H7*H8-2*C9*H7^2*H8-2*C9*H7*H8^2+4*E6*C8*H7*H9-4*C8*H7^2*H9+8*E6*C7*H8*H9+16*E6*H7*H8*H9-E10*H7*H8*H9-8*C7*H7*H8*H9-4*C8*H7*H8*H9-2*C9*H7*H8*H9-C10*H7*H8*H9-16*H7^2*H8*H9-8*C7*H8^2*H9-16*H7*H8^2*H9-4*C8*H7*H9^2-8*C7*H8*H9^2-16*H7*H8*H9^2</f>
        <v>212.33906292723583</v>
      </c>
      <c r="L17" s="10">
        <f>2*E6*C10*H7*H8*H9-2*C10*H7^2*H8*H9-2*C10*H7*H8^2*H9-2*C10*H7*H8*H9^2+4*E6*C9*H7*H8*H10-4*C9*H7^2*H8*H10-4*C9*H7*H8^2*H10+8*E6*C8*H7*H9*H10-8*C8*H7^2*H9*H10+16*E6*C7*H8*H9*H10+32*E6*H7*H8*H9*H10-E11*H7*H8*H9*H10-16*C7*H7*H8*H9*H10-8*C8*H7*H8*H9*H10-4*C9*H7*H8*H9*H10-2*C10*H7*H8*H9*H10-C11*H7*H8*H9*H10-32*H7^2*H8*H9*H10-16*C7*H8^2*H9*H10-32*H7*H8^2*H9*H10-8*C8*H7*H9^2*H10-16*C7*H8*H9^2*H10-32*H7*H8*H9^2*H10-4*C9*H7*H8*H10^2-8*C8*H7*H9*H10^2-16*C7*H8*H9*H10^2-32*H7*H8*H9*H10^2</f>
        <v>80.24825955231711</v>
      </c>
    </row>
    <row r="18" spans="7:12" ht="12.75">
      <c r="G18" s="21" t="s">
        <v>39</v>
      </c>
      <c r="H18" s="10">
        <f>C7*E6</f>
        <v>269</v>
      </c>
      <c r="I18" s="10">
        <f>E6*C8*H7-C8*H7^2</f>
        <v>773.4113123558639</v>
      </c>
      <c r="J18" s="10">
        <f>E6*C9*H7*H8-C9*H7^2*H8-C9*H7*H8^2</f>
        <v>763.8257074474595</v>
      </c>
      <c r="K18" s="10">
        <f>E6*C10*H7*H8*H9-C10*H7^2*H8*H9-C10*H7*H8^2*H9-C10*H7*H8*H9^2</f>
        <v>286.3089391477073</v>
      </c>
      <c r="L18" s="10">
        <f>E6*C11*H7*H8*H9*H10-C11*H7^2*H8*H9*H10-C11*H7*H8^2*H9*H10-C11*H7*H8*H9^2*H10-C11*H7*H8*H9*H10^2</f>
        <v>38.934270634123706</v>
      </c>
    </row>
  </sheetData>
  <mergeCells count="2">
    <mergeCell ref="H4:M4"/>
    <mergeCell ref="P4:U4"/>
  </mergeCells>
  <printOptions horizontalCentered="1" verticalCentered="1"/>
  <pageMargins left="0.75" right="0.51" top="0.62" bottom="0.58" header="0.5" footer="0.5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Soil Science, 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Christopher Teh Boon Sung</dc:creator>
  <cp:keywords/>
  <dc:description/>
  <cp:lastModifiedBy>Dr. Christopher Teh Boon Sung</cp:lastModifiedBy>
  <dcterms:created xsi:type="dcterms:W3CDTF">2001-08-31T13:54:52Z</dcterms:created>
  <cp:category/>
  <cp:version/>
  <cp:contentType/>
  <cp:contentStatus/>
</cp:coreProperties>
</file>